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3"/>
  </bookViews>
  <sheets>
    <sheet name="酒" sheetId="1" r:id="rId1"/>
    <sheet name="家具" sheetId="2" r:id="rId2"/>
    <sheet name="电器" sheetId="3" r:id="rId3"/>
    <sheet name="瓷器" sheetId="4" r:id="rId4"/>
  </sheets>
  <definedNames>
    <definedName name="_xlfn.IFERROR" hidden="1">#NAME?</definedName>
    <definedName name="_xlnm.Print_Area" localSheetId="3">'瓷器'!$A$1:$P$224</definedName>
    <definedName name="_xlnm.Print_Area" localSheetId="2">'电器'!$A$1:$O$27</definedName>
    <definedName name="_xlnm.Print_Area" localSheetId="1">'家具'!$A$1:$R$52</definedName>
    <definedName name="_xlnm.Print_Area" localSheetId="0">'酒'!$A$1:$N$19</definedName>
    <definedName name="_xlnm.Print_Titles" localSheetId="3">'瓷器'!$1:$2</definedName>
    <definedName name="_xlnm.Print_Titles" localSheetId="2">'电器'!$1:$2</definedName>
    <definedName name="_xlnm.Print_Titles" localSheetId="1">'家具'!$1:$2</definedName>
    <definedName name="_xlnm._FilterDatabase" localSheetId="3" hidden="1">'瓷器'!$A$2:$P$224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L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红木家具是保值增值的</t>
        </r>
      </text>
    </comment>
  </commentList>
</comments>
</file>

<file path=xl/sharedStrings.xml><?xml version="1.0" encoding="utf-8"?>
<sst xmlns="http://schemas.openxmlformats.org/spreadsheetml/2006/main" count="1456" uniqueCount="427">
  <si>
    <t>序号</t>
  </si>
  <si>
    <t>标签编号</t>
  </si>
  <si>
    <t>名称</t>
  </si>
  <si>
    <t>计量单位</t>
  </si>
  <si>
    <t>数量</t>
  </si>
  <si>
    <t>规格</t>
  </si>
  <si>
    <t>上次评估价</t>
  </si>
  <si>
    <t>市场价值</t>
  </si>
  <si>
    <t>清算折扣率</t>
  </si>
  <si>
    <t>清算价值</t>
  </si>
  <si>
    <t>备注</t>
  </si>
  <si>
    <t>存放地点</t>
  </si>
  <si>
    <t>单价</t>
  </si>
  <si>
    <t>评估值</t>
  </si>
  <si>
    <t>单瓶白酒</t>
  </si>
  <si>
    <t>瓶</t>
  </si>
  <si>
    <t>500ML/瓶</t>
  </si>
  <si>
    <t>中道临四合院东厢房</t>
  </si>
  <si>
    <t>整箱白酒</t>
  </si>
  <si>
    <t>箱</t>
  </si>
  <si>
    <t>6瓶/箱</t>
  </si>
  <si>
    <t>贵茅人民公社</t>
  </si>
  <si>
    <t>外交使团使节酒</t>
  </si>
  <si>
    <t>烈酒，没有名字</t>
  </si>
  <si>
    <t>1瓶/箱</t>
  </si>
  <si>
    <t>姚花春原酒（赠品）</t>
  </si>
  <si>
    <t>一号接待酒</t>
  </si>
  <si>
    <t>杜康酒</t>
  </si>
  <si>
    <t>内供酒</t>
  </si>
  <si>
    <t>孟府宴酒</t>
  </si>
  <si>
    <t>许烟特供酒</t>
  </si>
  <si>
    <t>2瓶/箱</t>
  </si>
  <si>
    <t>国色清香（宝丰）</t>
  </si>
  <si>
    <t>纸箱拉菲</t>
  </si>
  <si>
    <t>750ML/瓶</t>
  </si>
  <si>
    <t>黑皮箱拉斐</t>
  </si>
  <si>
    <t>黄皮箱拉菲</t>
  </si>
  <si>
    <t>黄皮箱拉斐</t>
  </si>
  <si>
    <t>窖存红酒</t>
  </si>
  <si>
    <t>中道临院内酒窖</t>
  </si>
  <si>
    <t>窖存罐装白酒</t>
  </si>
  <si>
    <t>罐</t>
  </si>
  <si>
    <t>40KG/罐</t>
  </si>
  <si>
    <t>53度酱香型</t>
  </si>
  <si>
    <t>窖存桶装白酒</t>
  </si>
  <si>
    <t>桶</t>
  </si>
  <si>
    <t>52度酱香型</t>
  </si>
  <si>
    <t>合计</t>
  </si>
  <si>
    <t>材质</t>
  </si>
  <si>
    <t>询价记录</t>
  </si>
  <si>
    <r>
      <t xml:space="preserve">赵建克
</t>
    </r>
    <r>
      <rPr>
        <sz val="10"/>
        <rFont val="宋体"/>
        <family val="0"/>
      </rPr>
      <t>2020.12.7</t>
    </r>
  </si>
  <si>
    <r>
      <t xml:space="preserve">孟嘎子
</t>
    </r>
    <r>
      <rPr>
        <sz val="10"/>
        <rFont val="宋体"/>
        <family val="0"/>
      </rPr>
      <t>2020.12.14</t>
    </r>
  </si>
  <si>
    <t>重置单价</t>
  </si>
  <si>
    <t>成新率</t>
  </si>
  <si>
    <t>山水红木床</t>
  </si>
  <si>
    <t>套</t>
  </si>
  <si>
    <t>紫檀</t>
  </si>
  <si>
    <t>1.8*2</t>
  </si>
  <si>
    <t>1床2床头柜,床板损毁</t>
  </si>
  <si>
    <t>中道临四合院正房</t>
  </si>
  <si>
    <t>柜子</t>
  </si>
  <si>
    <t>平方</t>
  </si>
  <si>
    <t>长1.8，宽0.6，高0.9</t>
  </si>
  <si>
    <t>索菲亚（推拉百叶门）</t>
  </si>
  <si>
    <t>衣柜</t>
  </si>
  <si>
    <t>长2，宽0.6，高2.12</t>
  </si>
  <si>
    <t>鞋柜</t>
  </si>
  <si>
    <t>长1.05，宽0.27，高1.09</t>
  </si>
  <si>
    <t>书柜</t>
  </si>
  <si>
    <t>宽0.98，高2.03，厚0.4</t>
  </si>
  <si>
    <t>2个</t>
  </si>
  <si>
    <t>办公桌及座椅</t>
  </si>
  <si>
    <t>长1.99，宽0.98，高0.8（6个抽屉）</t>
  </si>
  <si>
    <t>1桌1座椅</t>
  </si>
  <si>
    <t>沙发茶几</t>
  </si>
  <si>
    <t>红木</t>
  </si>
  <si>
    <t>茶几1.08*1.46*56.5</t>
  </si>
  <si>
    <t>桌、椅、凳共11件</t>
  </si>
  <si>
    <t>红木架子</t>
  </si>
  <si>
    <t>个</t>
  </si>
  <si>
    <t>长1，宽0.4，高2</t>
  </si>
  <si>
    <t>圆桌</t>
  </si>
  <si>
    <t>张</t>
  </si>
  <si>
    <t>木质</t>
  </si>
  <si>
    <t>直径0.96，高0.78</t>
  </si>
  <si>
    <t>根雕</t>
  </si>
  <si>
    <t>架子</t>
  </si>
  <si>
    <t>长1*宽0.35*高2.2</t>
  </si>
  <si>
    <t>餐桌、椅子</t>
  </si>
  <si>
    <t>桌直径2m</t>
  </si>
  <si>
    <t>1餐桌13椅子（1把椅子在右屋）</t>
  </si>
  <si>
    <t>博古架</t>
  </si>
  <si>
    <t>金丝楠</t>
  </si>
  <si>
    <t>高2*宽1.3*厚0.5</t>
  </si>
  <si>
    <t>小茶台</t>
  </si>
  <si>
    <t>木</t>
  </si>
  <si>
    <t>竹报平安</t>
  </si>
  <si>
    <t>餐桌</t>
  </si>
  <si>
    <t>直径1.5*高0.8</t>
  </si>
  <si>
    <t>老粗布家纺</t>
  </si>
  <si>
    <t>件</t>
  </si>
  <si>
    <t>棉</t>
  </si>
  <si>
    <t>鸡翅木</t>
  </si>
  <si>
    <t>直径1米，高0.7</t>
  </si>
  <si>
    <t>1桌2凳（带1个根雕的圆桌）</t>
  </si>
  <si>
    <t>八仙桌</t>
  </si>
  <si>
    <t>高0.8，长0.9</t>
  </si>
  <si>
    <t>罗汉床</t>
  </si>
  <si>
    <t>花梨木</t>
  </si>
  <si>
    <t>长2*宽1.2*高1</t>
  </si>
  <si>
    <t>中道临四合院西厢房</t>
  </si>
  <si>
    <t>旅行箱</t>
  </si>
  <si>
    <t>未拆封</t>
  </si>
  <si>
    <t>首饰盒</t>
  </si>
  <si>
    <t>独杆木</t>
  </si>
  <si>
    <t>根</t>
  </si>
  <si>
    <t>高2.8*直径0.4</t>
  </si>
  <si>
    <t>中道临餐厅</t>
  </si>
  <si>
    <t>大条案</t>
  </si>
  <si>
    <t>黑金檀</t>
  </si>
  <si>
    <t>5.5*1.46*0.16（厚）</t>
  </si>
  <si>
    <t>裂开</t>
  </si>
  <si>
    <t>毛笔架</t>
  </si>
  <si>
    <t>高2.2*宽0.35</t>
  </si>
  <si>
    <t>茶台</t>
  </si>
  <si>
    <t>肇庆端砚石</t>
  </si>
  <si>
    <t>长1.7*宽0.9*厚0.1</t>
  </si>
  <si>
    <t>红木椅子</t>
  </si>
  <si>
    <t>长0.78*宽0.63*高1.14</t>
  </si>
  <si>
    <t>红木茶几</t>
  </si>
  <si>
    <t>长1.24*宽0.98*高0.54</t>
  </si>
  <si>
    <t>摇椅</t>
  </si>
  <si>
    <t>竹、木</t>
  </si>
  <si>
    <t>在四合院内</t>
  </si>
  <si>
    <t>台球桌</t>
  </si>
  <si>
    <t>长2.8*宽1.54*高0.86</t>
  </si>
  <si>
    <t>长1.5*宽0.9</t>
  </si>
  <si>
    <t>圆餐桌</t>
  </si>
  <si>
    <t>直径1.3*高0.8</t>
  </si>
  <si>
    <t>香案</t>
  </si>
  <si>
    <t>长1.43*宽0.45</t>
  </si>
  <si>
    <t>中道临木屋</t>
  </si>
  <si>
    <t>茶几+茶台+茶桌</t>
  </si>
  <si>
    <t>花梨+灵璧石</t>
  </si>
  <si>
    <t>长0.96*宽0.8*高0.48</t>
  </si>
  <si>
    <t>3件</t>
  </si>
  <si>
    <t>花梨</t>
  </si>
  <si>
    <t>高1.96*宽1.08*厚0.38</t>
  </si>
  <si>
    <t>茶几、茶台</t>
  </si>
  <si>
    <t>2件</t>
  </si>
  <si>
    <t>梳妆盒</t>
  </si>
  <si>
    <t>藤编沙发茶几</t>
  </si>
  <si>
    <t>藤编</t>
  </si>
  <si>
    <t>方桌1.5*高0.48，三人椅2.05*
1.5长，单人椅1米</t>
  </si>
  <si>
    <t>1套6件</t>
  </si>
  <si>
    <t>中道临小岛南砖混房</t>
  </si>
  <si>
    <t>床头柜、床、衣柜</t>
  </si>
  <si>
    <t>1.8*2.2</t>
  </si>
  <si>
    <t>1套3件</t>
  </si>
  <si>
    <t>麻将桌</t>
  </si>
  <si>
    <t>沙发茶几椅子</t>
  </si>
  <si>
    <t>1套4件</t>
  </si>
  <si>
    <t>床、床头柜等</t>
  </si>
  <si>
    <t>把</t>
  </si>
  <si>
    <t>床长2.17*宽1.8，衣柜长1.64*
高2.2*宽0.58</t>
  </si>
  <si>
    <t>茶桌</t>
  </si>
  <si>
    <t>直径1.1*0.65</t>
  </si>
  <si>
    <t>1套5件</t>
  </si>
  <si>
    <t>中道临二层阁楼</t>
  </si>
  <si>
    <t>直径1.3*高0.78</t>
  </si>
  <si>
    <t>1桌7凳</t>
  </si>
  <si>
    <t>中道临四合院东厢房右</t>
  </si>
  <si>
    <t>藤椅</t>
  </si>
  <si>
    <t>小博古架</t>
  </si>
  <si>
    <t>壁挂，2个</t>
  </si>
  <si>
    <t>评估原值</t>
  </si>
  <si>
    <t>电视</t>
  </si>
  <si>
    <t>台</t>
  </si>
  <si>
    <t>127厘米、50寸</t>
  </si>
  <si>
    <t>康佳</t>
  </si>
  <si>
    <t>星星酒柜</t>
  </si>
  <si>
    <t>0.45*0.46*0.82（高）</t>
  </si>
  <si>
    <t>同182</t>
  </si>
  <si>
    <t>滚筒洗衣机</t>
  </si>
  <si>
    <t>大冰柜</t>
  </si>
  <si>
    <t>蒸箱</t>
  </si>
  <si>
    <t>全方位遥控自动升降金卤灯</t>
  </si>
  <si>
    <t>SFD6000G</t>
  </si>
  <si>
    <t>一整套</t>
  </si>
  <si>
    <t>发电机</t>
  </si>
  <si>
    <t>中道临养狗房</t>
  </si>
  <si>
    <t>打药机</t>
  </si>
  <si>
    <t>刷车机</t>
  </si>
  <si>
    <t>丰硕FS-55型</t>
  </si>
  <si>
    <t>热水器</t>
  </si>
  <si>
    <t>FCD-HM50GILE</t>
  </si>
  <si>
    <t>海尔</t>
  </si>
  <si>
    <t>粉碎机</t>
  </si>
  <si>
    <t>冰柜</t>
  </si>
  <si>
    <t>BC/BD-625GC</t>
  </si>
  <si>
    <t>新飞</t>
  </si>
  <si>
    <t>长2.44*宽0.74*高0.88</t>
  </si>
  <si>
    <t>白雪</t>
  </si>
  <si>
    <t>冰箱</t>
  </si>
  <si>
    <t>盛宝</t>
  </si>
  <si>
    <t>中道临四合院厨房</t>
  </si>
  <si>
    <t>雪厨冰柜</t>
  </si>
  <si>
    <t>长1.8*宽0.8*高0.6</t>
  </si>
  <si>
    <t>消毒柜</t>
  </si>
  <si>
    <t>微波炉</t>
  </si>
  <si>
    <t>烤箱</t>
  </si>
  <si>
    <t>电饼铛</t>
  </si>
  <si>
    <t>壁挂炉</t>
  </si>
  <si>
    <t>华帝</t>
  </si>
  <si>
    <t>吸尘器</t>
  </si>
  <si>
    <t>未见</t>
  </si>
  <si>
    <r>
      <t xml:space="preserve">赵建克
</t>
    </r>
    <r>
      <rPr>
        <sz val="11"/>
        <rFont val="宋体"/>
        <family val="0"/>
      </rPr>
      <t>2020.12.7</t>
    </r>
  </si>
  <si>
    <r>
      <t xml:space="preserve">孟嘎子
</t>
    </r>
    <r>
      <rPr>
        <sz val="11"/>
        <rFont val="宋体"/>
        <family val="0"/>
      </rPr>
      <t>2020.12.14</t>
    </r>
  </si>
  <si>
    <t>工艺剑</t>
  </si>
  <si>
    <t>桃木</t>
  </si>
  <si>
    <t>带架，长1.63</t>
  </si>
  <si>
    <t>长0.93，宽0.53，高0.51</t>
  </si>
  <si>
    <t>达摩</t>
  </si>
  <si>
    <t>镂空花瓶</t>
  </si>
  <si>
    <t>核桃</t>
  </si>
  <si>
    <t>高0.99，肚0.3，口径0.28</t>
  </si>
  <si>
    <t>龙头双耳瓶</t>
  </si>
  <si>
    <t>坪山柴烧</t>
  </si>
  <si>
    <t>高0.31，肚0.16，口径0.16</t>
  </si>
  <si>
    <t>与17是一对</t>
  </si>
  <si>
    <t>盘龙红瓶</t>
  </si>
  <si>
    <t>苗家钧瓷</t>
  </si>
  <si>
    <t>高0.3，肚0.21，口径0.105</t>
  </si>
  <si>
    <t>毛主席像</t>
  </si>
  <si>
    <t>钧瓷</t>
  </si>
  <si>
    <t>高0.3，宽0.22</t>
  </si>
  <si>
    <t>兽面炉</t>
  </si>
  <si>
    <t>柴烧钧瓷</t>
  </si>
  <si>
    <t>高0.2，口径0.3</t>
  </si>
  <si>
    <t>与13是一对</t>
  </si>
  <si>
    <t>九龙印章</t>
  </si>
  <si>
    <t>枚</t>
  </si>
  <si>
    <t>岫玉</t>
  </si>
  <si>
    <t>高1，宽0.31</t>
  </si>
  <si>
    <t>壁画</t>
  </si>
  <si>
    <t>幅</t>
  </si>
  <si>
    <t>长1.96，高0.53</t>
  </si>
  <si>
    <t>弥勒图十字绣</t>
  </si>
  <si>
    <t>长1.27，宽0.63</t>
  </si>
  <si>
    <t>财神十字绣</t>
  </si>
  <si>
    <t>长1.04，宽0.54</t>
  </si>
  <si>
    <t>百福十字绣</t>
  </si>
  <si>
    <t>长0.9，宽0.6</t>
  </si>
  <si>
    <t>瓷器瓶</t>
  </si>
  <si>
    <t>对</t>
  </si>
  <si>
    <t>高1.5，肚0.5，口径0.4</t>
  </si>
  <si>
    <t>龙印</t>
  </si>
  <si>
    <t>长0.3，宽0.16</t>
  </si>
  <si>
    <t>龟印</t>
  </si>
  <si>
    <t>虎摆件</t>
  </si>
  <si>
    <t>瓷</t>
  </si>
  <si>
    <t>长0.3，宽0.68</t>
  </si>
  <si>
    <t>孔雀造型根雕</t>
  </si>
  <si>
    <t>树根</t>
  </si>
  <si>
    <t>宽4.1，高2.45，厚0.8</t>
  </si>
  <si>
    <t>毛主席站像</t>
  </si>
  <si>
    <t>高0.73</t>
  </si>
  <si>
    <t>弥勒像</t>
  </si>
  <si>
    <t>香樟木</t>
  </si>
  <si>
    <t>宽0.3，高0.23</t>
  </si>
  <si>
    <t>工艺瓶</t>
  </si>
  <si>
    <t>高0.48，肚宽0.32</t>
  </si>
  <si>
    <t>关公瓷像</t>
  </si>
  <si>
    <t>高0.5</t>
  </si>
  <si>
    <t>根雕凳</t>
  </si>
  <si>
    <t>长0.43，高0.46</t>
  </si>
  <si>
    <t>铜麒麟</t>
  </si>
  <si>
    <t>高0.24，长0.2</t>
  </si>
  <si>
    <t>瓷器象</t>
  </si>
  <si>
    <t>高0.2，长0.2</t>
  </si>
  <si>
    <t>崖柏根雕</t>
  </si>
  <si>
    <t>陈化崖柏</t>
  </si>
  <si>
    <t>高0.7，长0.83</t>
  </si>
  <si>
    <t>弯月形</t>
  </si>
  <si>
    <t>领航舵</t>
  </si>
  <si>
    <t>长1.8，直径1米</t>
  </si>
  <si>
    <t>观音站像</t>
  </si>
  <si>
    <t>树脂</t>
  </si>
  <si>
    <t>高1.14</t>
  </si>
  <si>
    <t>瓷器</t>
  </si>
  <si>
    <t>王府钧瓷</t>
  </si>
  <si>
    <t>高0.42，肚0.25，口0.16</t>
  </si>
  <si>
    <t>如意佛</t>
  </si>
  <si>
    <t>长0.45，高0.25</t>
  </si>
  <si>
    <t>吉祥如意</t>
  </si>
  <si>
    <t>高0.3，长0.4</t>
  </si>
  <si>
    <t>挂盘</t>
  </si>
  <si>
    <t>汝瓷</t>
  </si>
  <si>
    <t>直径0.28</t>
  </si>
  <si>
    <t>双孔雀瓶</t>
  </si>
  <si>
    <t>肚0.22，高0.35，口0.23</t>
  </si>
  <si>
    <t>钧瓷瓶</t>
  </si>
  <si>
    <t>郑氏康隆</t>
  </si>
  <si>
    <t>肚0.15，高0.4，口0.1</t>
  </si>
  <si>
    <t>母子猴</t>
  </si>
  <si>
    <t>高0.26，宽0.14</t>
  </si>
  <si>
    <t>双耳瓷瓶</t>
  </si>
  <si>
    <t>大刘山人</t>
  </si>
  <si>
    <t>高0.35，肚0.16，口0.1</t>
  </si>
  <si>
    <t>瓷器盘</t>
  </si>
  <si>
    <t>直径0.36</t>
  </si>
  <si>
    <t>高0.35*肚0.2*口0.18</t>
  </si>
  <si>
    <t>瓷器鼎</t>
  </si>
  <si>
    <t>高0.26*长0.3*宽0.23</t>
  </si>
  <si>
    <t>观音根雕</t>
  </si>
  <si>
    <t>高1.47*宽0.67</t>
  </si>
  <si>
    <t>香炉</t>
  </si>
  <si>
    <t>口0.17，高0.24</t>
  </si>
  <si>
    <t>龙凤呈祥</t>
  </si>
  <si>
    <t>双凤樽</t>
  </si>
  <si>
    <t>茶具</t>
  </si>
  <si>
    <t>成龙杯</t>
  </si>
  <si>
    <t>象牙摆件底座</t>
  </si>
  <si>
    <t>象牙无，仅底座</t>
  </si>
  <si>
    <t>双耳瓶</t>
  </si>
  <si>
    <t>h0.5</t>
  </si>
  <si>
    <t>h0.55</t>
  </si>
  <si>
    <t>h0.7</t>
  </si>
  <si>
    <t>三龙带环摆件</t>
  </si>
  <si>
    <t>腰鼓形摆件</t>
  </si>
  <si>
    <t>长0.6</t>
  </si>
  <si>
    <t>瓷器虎</t>
  </si>
  <si>
    <t>长颈瓶</t>
  </si>
  <si>
    <t>双龙樽</t>
  </si>
  <si>
    <t>虎头瓶</t>
  </si>
  <si>
    <t>h0.4</t>
  </si>
  <si>
    <t>瓷器牛</t>
  </si>
  <si>
    <t>双龙带环瓶</t>
  </si>
  <si>
    <t>羊头六棱瓶</t>
  </si>
  <si>
    <t>兽头八棱瓶</t>
  </si>
  <si>
    <t>马头摆件</t>
  </si>
  <si>
    <t>滚滚来财</t>
  </si>
  <si>
    <t>异形瓷器</t>
  </si>
  <si>
    <t>异形四棱瓷器</t>
  </si>
  <si>
    <t>金蟾圆瓶</t>
  </si>
  <si>
    <t>金蟾方瓶</t>
  </si>
  <si>
    <t>兽头六棱瓶</t>
  </si>
  <si>
    <t>象摆件</t>
  </si>
  <si>
    <t>鼠摆件</t>
  </si>
  <si>
    <t>h0.35</t>
  </si>
  <si>
    <t>树叶盘</t>
  </si>
  <si>
    <t>飞虎摆件</t>
  </si>
  <si>
    <t>h0.3</t>
  </si>
  <si>
    <t>牛摆件</t>
  </si>
  <si>
    <t>如意双耳瓶</t>
  </si>
  <si>
    <t>h0.45</t>
  </si>
  <si>
    <t>喜娃娃摆件</t>
  </si>
  <si>
    <t>山水瓶</t>
  </si>
  <si>
    <t>三羊樽</t>
  </si>
  <si>
    <t>球形瓶</t>
  </si>
  <si>
    <t>火焰瓶</t>
  </si>
  <si>
    <t>瓷器省级大师</t>
  </si>
  <si>
    <t>杨廷玺钧瓷</t>
  </si>
  <si>
    <t>三羊六棱瓶</t>
  </si>
  <si>
    <t>梅瓶</t>
  </si>
  <si>
    <t>如意摆件</t>
  </si>
  <si>
    <t>荷塘月色</t>
  </si>
  <si>
    <t>兽头瓶</t>
  </si>
  <si>
    <t>口径3cm,肚25cm，高41cm</t>
  </si>
  <si>
    <t>双龙耳摆件</t>
  </si>
  <si>
    <t>兽头四耳瓶</t>
  </si>
  <si>
    <t>瑕疵</t>
  </si>
  <si>
    <t>羊摆件</t>
  </si>
  <si>
    <t>金龙摆件</t>
  </si>
  <si>
    <t>富贵长安</t>
  </si>
  <si>
    <t>铜版画</t>
  </si>
  <si>
    <t>宽0.76*高0.6</t>
  </si>
  <si>
    <t>佛像</t>
  </si>
  <si>
    <t>白色佛像</t>
  </si>
  <si>
    <t>h0.8</t>
  </si>
  <si>
    <t>鱼形摆件</t>
  </si>
  <si>
    <t>h0.6</t>
  </si>
  <si>
    <t>兽头双耳缸</t>
  </si>
  <si>
    <t>四棱樽</t>
  </si>
  <si>
    <t>碎（损坏）</t>
  </si>
  <si>
    <t>六棱瓶</t>
  </si>
  <si>
    <t>瓷器财神</t>
  </si>
  <si>
    <t>h2</t>
  </si>
  <si>
    <t>观音像</t>
  </si>
  <si>
    <t>硬杂木</t>
  </si>
  <si>
    <t>h1.9</t>
  </si>
  <si>
    <t>菩萨铜像</t>
  </si>
  <si>
    <t>铜</t>
  </si>
  <si>
    <t>西方三圣</t>
  </si>
  <si>
    <t>如来铜像</t>
  </si>
  <si>
    <t>观音铜像</t>
  </si>
  <si>
    <t>字画赵</t>
  </si>
  <si>
    <t>赵朴初套画</t>
  </si>
  <si>
    <t>高仿</t>
  </si>
  <si>
    <t>1套3幅</t>
  </si>
  <si>
    <t>画</t>
  </si>
  <si>
    <t>字画武春河自字</t>
  </si>
  <si>
    <t>画（生物化石）</t>
  </si>
  <si>
    <t>福禄寿工艺扇</t>
  </si>
  <si>
    <t>h1.2</t>
  </si>
  <si>
    <t>字画</t>
  </si>
  <si>
    <t>绢</t>
  </si>
  <si>
    <t>毛泽东半身像</t>
  </si>
  <si>
    <t>双耳象鼻瓶</t>
  </si>
  <si>
    <t>龟盘</t>
  </si>
  <si>
    <t>茶宠</t>
  </si>
  <si>
    <t>人物画</t>
  </si>
  <si>
    <t>绢画</t>
  </si>
  <si>
    <t>四连画（红楼梦）</t>
  </si>
  <si>
    <t>黄檀</t>
  </si>
  <si>
    <t>h2.5,宽0.67</t>
  </si>
  <si>
    <t>木雕</t>
  </si>
  <si>
    <t>中道临四合院院内</t>
  </si>
  <si>
    <t>h1.5</t>
  </si>
  <si>
    <t>332和333是一对</t>
  </si>
  <si>
    <t>334h和335是一对</t>
  </si>
  <si>
    <t>麒麟</t>
  </si>
  <si>
    <t>1对</t>
  </si>
  <si>
    <t>福寿图</t>
  </si>
  <si>
    <t>图心长1.3，宽0.65</t>
  </si>
  <si>
    <t>盘龙花缸</t>
  </si>
  <si>
    <t>花瓶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</si>
</sst>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0"/>
      <name val="宋体"/>
      <family val="0"/>
    </font>
    <font>
      <b/>
      <sz val="11"/>
      <name val="宋体"/>
      <family val="0"/>
    </font>
    <font>
      <sz val="10"/>
      <name val="仿宋"/>
      <family val="3"/>
    </font>
    <font>
      <b/>
      <sz val="10"/>
      <name val="宋体"/>
      <family val="0"/>
    </font>
    <font>
      <b/>
      <sz val="10"/>
      <name val="仿宋"/>
      <family val="3"/>
    </font>
    <font>
      <sz val="10"/>
      <color indexed="10"/>
      <name val="仿宋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"/>
      <family val="3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left" vertical="center" shrinkToFit="1"/>
    </xf>
    <xf numFmtId="0" fontId="6" fillId="33" borderId="9" xfId="0" applyFont="1" applyFill="1" applyBorder="1" applyAlignment="1">
      <alignment horizontal="distributed" vertical="center"/>
    </xf>
    <xf numFmtId="0" fontId="6" fillId="33" borderId="9" xfId="0" applyFont="1" applyFill="1" applyBorder="1" applyAlignment="1">
      <alignment horizontal="center" vertical="center" shrinkToFit="1"/>
    </xf>
    <xf numFmtId="0" fontId="6" fillId="33" borderId="9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9" fontId="6" fillId="33" borderId="9" xfId="0" applyNumberFormat="1" applyFont="1" applyFill="1" applyBorder="1" applyAlignment="1">
      <alignment horizontal="center" vertical="center"/>
    </xf>
    <xf numFmtId="178" fontId="6" fillId="33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 shrinkToFit="1"/>
    </xf>
    <xf numFmtId="9" fontId="6" fillId="0" borderId="18" xfId="0" applyNumberFormat="1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right" vertical="center"/>
    </xf>
    <xf numFmtId="9" fontId="8" fillId="0" borderId="20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/>
    </xf>
    <xf numFmtId="9" fontId="4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33" borderId="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left" vertical="center" wrapText="1" shrinkToFit="1"/>
    </xf>
    <xf numFmtId="0" fontId="6" fillId="33" borderId="11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8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vertical="center"/>
    </xf>
    <xf numFmtId="0" fontId="8" fillId="33" borderId="9" xfId="0" applyFont="1" applyFill="1" applyBorder="1" applyAlignment="1">
      <alignment horizontal="left" vertical="center" shrinkToFit="1"/>
    </xf>
    <xf numFmtId="0" fontId="8" fillId="33" borderId="9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78" fontId="6" fillId="33" borderId="9" xfId="0" applyNumberFormat="1" applyFont="1" applyFill="1" applyBorder="1" applyAlignment="1">
      <alignment horizontal="center" vertical="center"/>
    </xf>
    <xf numFmtId="178" fontId="6" fillId="33" borderId="11" xfId="0" applyNumberFormat="1" applyFont="1" applyFill="1" applyBorder="1" applyAlignment="1">
      <alignment horizontal="center" vertical="center"/>
    </xf>
    <xf numFmtId="9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178" fontId="6" fillId="33" borderId="13" xfId="0" applyNumberFormat="1" applyFont="1" applyFill="1" applyBorder="1" applyAlignment="1">
      <alignment horizontal="center" vertical="center"/>
    </xf>
    <xf numFmtId="9" fontId="6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178" fontId="8" fillId="33" borderId="9" xfId="0" applyNumberFormat="1" applyFont="1" applyFill="1" applyBorder="1" applyAlignment="1">
      <alignment horizontal="center" vertical="center"/>
    </xf>
    <xf numFmtId="178" fontId="8" fillId="33" borderId="9" xfId="0" applyNumberFormat="1" applyFont="1" applyFill="1" applyBorder="1" applyAlignment="1">
      <alignment horizontal="right" vertical="center"/>
    </xf>
    <xf numFmtId="0" fontId="8" fillId="33" borderId="9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77" fontId="7" fillId="33" borderId="11" xfId="0" applyNumberFormat="1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vertical="center" wrapText="1"/>
    </xf>
    <xf numFmtId="0" fontId="7" fillId="33" borderId="9" xfId="0" applyFont="1" applyFill="1" applyBorder="1" applyAlignment="1">
      <alignment horizontal="center" vertical="center" wrapText="1"/>
    </xf>
    <xf numFmtId="176" fontId="7" fillId="33" borderId="11" xfId="0" applyNumberFormat="1" applyFont="1" applyFill="1" applyBorder="1" applyAlignment="1">
      <alignment horizontal="center" vertical="center" wrapText="1"/>
    </xf>
    <xf numFmtId="177" fontId="7" fillId="33" borderId="13" xfId="0" applyNumberFormat="1" applyFont="1" applyFill="1" applyBorder="1" applyAlignment="1">
      <alignment horizontal="center" vertical="center" wrapText="1"/>
    </xf>
    <xf numFmtId="177" fontId="7" fillId="33" borderId="9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178" fontId="6" fillId="33" borderId="11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178" fontId="6" fillId="33" borderId="13" xfId="0" applyNumberFormat="1" applyFont="1" applyFill="1" applyBorder="1" applyAlignment="1">
      <alignment horizontal="right" vertical="center"/>
    </xf>
    <xf numFmtId="178" fontId="8" fillId="0" borderId="20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9" fontId="8" fillId="0" borderId="20" xfId="0" applyNumberFormat="1" applyFont="1" applyBorder="1" applyAlignment="1">
      <alignment horizontal="center" vertical="center"/>
    </xf>
    <xf numFmtId="0" fontId="4" fillId="33" borderId="9" xfId="0" applyFont="1" applyFill="1" applyBorder="1" applyAlignment="1">
      <alignment vertical="center"/>
    </xf>
    <xf numFmtId="0" fontId="52" fillId="33" borderId="9" xfId="0" applyFont="1" applyFill="1" applyBorder="1" applyAlignment="1">
      <alignment horizontal="left" vertical="center" shrinkToFi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shrinkToFit="1"/>
    </xf>
    <xf numFmtId="0" fontId="6" fillId="33" borderId="9" xfId="0" applyFont="1" applyFill="1" applyBorder="1" applyAlignment="1">
      <alignment horizontal="right" vertical="center"/>
    </xf>
    <xf numFmtId="0" fontId="6" fillId="33" borderId="9" xfId="0" applyFont="1" applyFill="1" applyBorder="1" applyAlignment="1">
      <alignment vertical="center"/>
    </xf>
    <xf numFmtId="0" fontId="10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workbookViewId="0" topLeftCell="A1">
      <selection activeCell="I32" sqref="I32"/>
    </sheetView>
  </sheetViews>
  <sheetFormatPr defaultColWidth="9.00390625" defaultRowHeight="14.25"/>
  <cols>
    <col min="1" max="1" width="4.25390625" style="0" customWidth="1"/>
    <col min="2" max="2" width="5.75390625" style="0" customWidth="1"/>
    <col min="3" max="3" width="10.625" style="0" customWidth="1"/>
    <col min="4" max="4" width="5.625" style="0" customWidth="1"/>
    <col min="5" max="5" width="6.875" style="0" customWidth="1"/>
    <col min="6" max="6" width="7.375" style="0" customWidth="1"/>
    <col min="7" max="7" width="11.25390625" style="0" hidden="1" customWidth="1"/>
    <col min="8" max="8" width="12.125" style="0" customWidth="1"/>
    <col min="9" max="9" width="13.125" style="0" customWidth="1"/>
    <col min="10" max="10" width="7.50390625" style="0" customWidth="1"/>
    <col min="11" max="11" width="9.875" style="0" customWidth="1"/>
    <col min="12" max="12" width="10.625" style="0" customWidth="1"/>
    <col min="13" max="13" width="16.375" style="0" customWidth="1"/>
    <col min="14" max="14" width="14.50390625" style="0" customWidth="1"/>
  </cols>
  <sheetData>
    <row r="1" spans="1:14" ht="21" customHeight="1">
      <c r="A1" s="119" t="s">
        <v>0</v>
      </c>
      <c r="B1" s="120" t="s">
        <v>1</v>
      </c>
      <c r="C1" s="121" t="s">
        <v>2</v>
      </c>
      <c r="D1" s="120" t="s">
        <v>3</v>
      </c>
      <c r="E1" s="119" t="s">
        <v>4</v>
      </c>
      <c r="F1" s="119" t="s">
        <v>5</v>
      </c>
      <c r="G1" s="119" t="s">
        <v>6</v>
      </c>
      <c r="H1" s="119" t="s">
        <v>7</v>
      </c>
      <c r="I1" s="119"/>
      <c r="J1" s="120" t="s">
        <v>8</v>
      </c>
      <c r="K1" s="124" t="s">
        <v>9</v>
      </c>
      <c r="L1" s="124"/>
      <c r="M1" s="119" t="s">
        <v>10</v>
      </c>
      <c r="N1" s="119" t="s">
        <v>11</v>
      </c>
    </row>
    <row r="2" spans="1:14" ht="21" customHeight="1">
      <c r="A2" s="119"/>
      <c r="B2" s="120"/>
      <c r="C2" s="121"/>
      <c r="D2" s="120"/>
      <c r="E2" s="119"/>
      <c r="F2" s="119"/>
      <c r="G2" s="119"/>
      <c r="H2" s="119" t="s">
        <v>12</v>
      </c>
      <c r="I2" s="119" t="s">
        <v>13</v>
      </c>
      <c r="J2" s="120"/>
      <c r="K2" s="119" t="s">
        <v>12</v>
      </c>
      <c r="L2" s="119" t="s">
        <v>13</v>
      </c>
      <c r="M2" s="119"/>
      <c r="N2" s="119"/>
    </row>
    <row r="3" spans="1:14" ht="18.75" customHeight="1">
      <c r="A3" s="18">
        <v>1</v>
      </c>
      <c r="B3" s="18">
        <v>65</v>
      </c>
      <c r="C3" s="20" t="s">
        <v>14</v>
      </c>
      <c r="D3" s="23" t="s">
        <v>15</v>
      </c>
      <c r="E3" s="18">
        <v>66</v>
      </c>
      <c r="F3" s="122" t="s">
        <v>16</v>
      </c>
      <c r="G3" s="36">
        <v>19800</v>
      </c>
      <c r="H3" s="36">
        <f>ROUND((188+188+218)/18,0)</f>
        <v>33</v>
      </c>
      <c r="I3" s="36">
        <f>H3*E3</f>
        <v>2178</v>
      </c>
      <c r="J3" s="35">
        <v>0.6</v>
      </c>
      <c r="K3" s="36">
        <f>H3*J3</f>
        <v>19.8</v>
      </c>
      <c r="L3" s="36">
        <f>ROUND(K3*E3,0)</f>
        <v>1307</v>
      </c>
      <c r="M3" s="23"/>
      <c r="N3" s="20" t="s">
        <v>17</v>
      </c>
    </row>
    <row r="4" spans="1:14" ht="18.75" customHeight="1">
      <c r="A4" s="18">
        <v>2</v>
      </c>
      <c r="B4" s="18">
        <v>68</v>
      </c>
      <c r="C4" s="20" t="s">
        <v>18</v>
      </c>
      <c r="D4" s="23" t="s">
        <v>19</v>
      </c>
      <c r="E4" s="18">
        <v>1</v>
      </c>
      <c r="F4" s="122" t="s">
        <v>20</v>
      </c>
      <c r="G4" s="36">
        <v>3600</v>
      </c>
      <c r="H4" s="36">
        <f>ROUND((149+149+145)/3,0)</f>
        <v>148</v>
      </c>
      <c r="I4" s="36">
        <f aca="true" t="shared" si="0" ref="I4:I15">H4*E4</f>
        <v>148</v>
      </c>
      <c r="J4" s="35">
        <v>0.6</v>
      </c>
      <c r="K4" s="36">
        <f>H4*J4</f>
        <v>88.8</v>
      </c>
      <c r="L4" s="36">
        <f>ROUND(K4*E4,0)</f>
        <v>89</v>
      </c>
      <c r="M4" s="23" t="s">
        <v>21</v>
      </c>
      <c r="N4" s="20" t="s">
        <v>17</v>
      </c>
    </row>
    <row r="5" spans="1:14" ht="18.75" customHeight="1">
      <c r="A5" s="18">
        <v>3</v>
      </c>
      <c r="B5" s="18">
        <v>69</v>
      </c>
      <c r="C5" s="20" t="s">
        <v>18</v>
      </c>
      <c r="D5" s="23" t="s">
        <v>19</v>
      </c>
      <c r="E5" s="18">
        <v>1</v>
      </c>
      <c r="F5" s="122" t="s">
        <v>20</v>
      </c>
      <c r="G5" s="36">
        <v>4800</v>
      </c>
      <c r="H5" s="36">
        <f>ROUND((1850.99+1858+1850)/3,0)</f>
        <v>1853</v>
      </c>
      <c r="I5" s="36">
        <f t="shared" si="0"/>
        <v>1853</v>
      </c>
      <c r="J5" s="35">
        <v>0.6</v>
      </c>
      <c r="K5" s="36">
        <f>H5*J5</f>
        <v>1111.8</v>
      </c>
      <c r="L5" s="36">
        <f aca="true" t="shared" si="1" ref="L5:L18">ROUND(K5*E5,0)</f>
        <v>1112</v>
      </c>
      <c r="M5" s="23" t="s">
        <v>22</v>
      </c>
      <c r="N5" s="20" t="s">
        <v>17</v>
      </c>
    </row>
    <row r="6" spans="1:14" ht="18.75" customHeight="1">
      <c r="A6" s="18">
        <v>4</v>
      </c>
      <c r="B6" s="18">
        <v>70</v>
      </c>
      <c r="C6" s="20" t="s">
        <v>18</v>
      </c>
      <c r="D6" s="23" t="s">
        <v>19</v>
      </c>
      <c r="E6" s="18">
        <v>1</v>
      </c>
      <c r="F6" s="122" t="s">
        <v>20</v>
      </c>
      <c r="G6" s="36">
        <v>4800</v>
      </c>
      <c r="H6" s="36">
        <f>H3*6</f>
        <v>198</v>
      </c>
      <c r="I6" s="36">
        <f t="shared" si="0"/>
        <v>198</v>
      </c>
      <c r="J6" s="35">
        <v>0.6</v>
      </c>
      <c r="K6" s="36">
        <f>H6*J6</f>
        <v>118.8</v>
      </c>
      <c r="L6" s="36">
        <f t="shared" si="1"/>
        <v>119</v>
      </c>
      <c r="M6" s="23" t="s">
        <v>23</v>
      </c>
      <c r="N6" s="20" t="s">
        <v>17</v>
      </c>
    </row>
    <row r="7" spans="1:14" ht="18.75" customHeight="1">
      <c r="A7" s="18">
        <v>5</v>
      </c>
      <c r="B7" s="18">
        <v>72</v>
      </c>
      <c r="C7" s="20" t="s">
        <v>18</v>
      </c>
      <c r="D7" s="23" t="s">
        <v>19</v>
      </c>
      <c r="E7" s="18">
        <v>1</v>
      </c>
      <c r="F7" s="122" t="s">
        <v>24</v>
      </c>
      <c r="G7" s="36">
        <v>1800</v>
      </c>
      <c r="H7" s="36">
        <v>280</v>
      </c>
      <c r="I7" s="36">
        <f t="shared" si="0"/>
        <v>280</v>
      </c>
      <c r="J7" s="35">
        <v>0.6</v>
      </c>
      <c r="K7" s="36">
        <f aca="true" t="shared" si="2" ref="K7:K18">H7*J7</f>
        <v>168</v>
      </c>
      <c r="L7" s="36">
        <f t="shared" si="1"/>
        <v>168</v>
      </c>
      <c r="M7" s="23" t="s">
        <v>25</v>
      </c>
      <c r="N7" s="20" t="s">
        <v>17</v>
      </c>
    </row>
    <row r="8" spans="1:14" ht="18.75" customHeight="1">
      <c r="A8" s="18">
        <v>6</v>
      </c>
      <c r="B8" s="18">
        <v>73</v>
      </c>
      <c r="C8" s="20" t="s">
        <v>18</v>
      </c>
      <c r="D8" s="23" t="s">
        <v>19</v>
      </c>
      <c r="E8" s="18">
        <v>1</v>
      </c>
      <c r="F8" s="122" t="s">
        <v>20</v>
      </c>
      <c r="G8" s="36">
        <v>2400</v>
      </c>
      <c r="H8" s="36">
        <f>ROUND((352+368+370)/3,0)</f>
        <v>363</v>
      </c>
      <c r="I8" s="36">
        <f t="shared" si="0"/>
        <v>363</v>
      </c>
      <c r="J8" s="35">
        <v>0.6</v>
      </c>
      <c r="K8" s="36">
        <f t="shared" si="2"/>
        <v>217.79999999999998</v>
      </c>
      <c r="L8" s="36">
        <f t="shared" si="1"/>
        <v>218</v>
      </c>
      <c r="M8" s="23" t="s">
        <v>26</v>
      </c>
      <c r="N8" s="20" t="s">
        <v>17</v>
      </c>
    </row>
    <row r="9" spans="1:14" ht="18.75" customHeight="1">
      <c r="A9" s="18">
        <v>7</v>
      </c>
      <c r="B9" s="18">
        <v>74</v>
      </c>
      <c r="C9" s="20" t="s">
        <v>18</v>
      </c>
      <c r="D9" s="23" t="s">
        <v>19</v>
      </c>
      <c r="E9" s="18">
        <v>1</v>
      </c>
      <c r="F9" s="122" t="s">
        <v>20</v>
      </c>
      <c r="G9" s="36">
        <v>2400</v>
      </c>
      <c r="H9" s="36">
        <f>ROUND((499+508+488)/3,0)</f>
        <v>498</v>
      </c>
      <c r="I9" s="36">
        <f t="shared" si="0"/>
        <v>498</v>
      </c>
      <c r="J9" s="35">
        <v>0.6</v>
      </c>
      <c r="K9" s="36">
        <f t="shared" si="2"/>
        <v>298.8</v>
      </c>
      <c r="L9" s="36">
        <f t="shared" si="1"/>
        <v>299</v>
      </c>
      <c r="M9" s="23" t="s">
        <v>27</v>
      </c>
      <c r="N9" s="20" t="s">
        <v>17</v>
      </c>
    </row>
    <row r="10" spans="1:14" ht="18.75" customHeight="1">
      <c r="A10" s="18">
        <v>8</v>
      </c>
      <c r="B10" s="18">
        <v>75</v>
      </c>
      <c r="C10" s="20" t="s">
        <v>18</v>
      </c>
      <c r="D10" s="23" t="s">
        <v>19</v>
      </c>
      <c r="E10" s="18">
        <v>1</v>
      </c>
      <c r="F10" s="122" t="s">
        <v>20</v>
      </c>
      <c r="G10" s="36">
        <v>2400</v>
      </c>
      <c r="H10" s="36">
        <f>H8</f>
        <v>363</v>
      </c>
      <c r="I10" s="36">
        <f t="shared" si="0"/>
        <v>363</v>
      </c>
      <c r="J10" s="35">
        <v>0.6</v>
      </c>
      <c r="K10" s="36">
        <f t="shared" si="2"/>
        <v>217.79999999999998</v>
      </c>
      <c r="L10" s="36">
        <f t="shared" si="1"/>
        <v>218</v>
      </c>
      <c r="M10" s="23" t="s">
        <v>28</v>
      </c>
      <c r="N10" s="20" t="s">
        <v>17</v>
      </c>
    </row>
    <row r="11" spans="1:14" ht="18.75" customHeight="1">
      <c r="A11" s="18">
        <v>9</v>
      </c>
      <c r="B11" s="18">
        <v>76</v>
      </c>
      <c r="C11" s="20" t="s">
        <v>18</v>
      </c>
      <c r="D11" s="23" t="s">
        <v>19</v>
      </c>
      <c r="E11" s="18">
        <v>1</v>
      </c>
      <c r="F11" s="122" t="s">
        <v>20</v>
      </c>
      <c r="G11" s="36">
        <v>2400</v>
      </c>
      <c r="H11" s="36">
        <f>59.9*6</f>
        <v>359.4</v>
      </c>
      <c r="I11" s="36">
        <f t="shared" si="0"/>
        <v>359.4</v>
      </c>
      <c r="J11" s="35">
        <v>0.6</v>
      </c>
      <c r="K11" s="36">
        <f t="shared" si="2"/>
        <v>215.64</v>
      </c>
      <c r="L11" s="36">
        <f t="shared" si="1"/>
        <v>216</v>
      </c>
      <c r="M11" s="23" t="s">
        <v>29</v>
      </c>
      <c r="N11" s="20" t="s">
        <v>17</v>
      </c>
    </row>
    <row r="12" spans="1:14" ht="18.75" customHeight="1">
      <c r="A12" s="18">
        <v>10</v>
      </c>
      <c r="B12" s="18">
        <v>77</v>
      </c>
      <c r="C12" s="20" t="s">
        <v>18</v>
      </c>
      <c r="D12" s="23" t="s">
        <v>19</v>
      </c>
      <c r="E12" s="18">
        <v>1</v>
      </c>
      <c r="F12" s="122" t="s">
        <v>20</v>
      </c>
      <c r="G12" s="36">
        <v>2400</v>
      </c>
      <c r="H12" s="36">
        <f>H10</f>
        <v>363</v>
      </c>
      <c r="I12" s="36">
        <f t="shared" si="0"/>
        <v>363</v>
      </c>
      <c r="J12" s="35">
        <v>0.6</v>
      </c>
      <c r="K12" s="36">
        <f t="shared" si="2"/>
        <v>217.79999999999998</v>
      </c>
      <c r="L12" s="36">
        <f t="shared" si="1"/>
        <v>218</v>
      </c>
      <c r="M12" s="23" t="s">
        <v>30</v>
      </c>
      <c r="N12" s="20" t="s">
        <v>17</v>
      </c>
    </row>
    <row r="13" spans="1:14" ht="18.75" customHeight="1">
      <c r="A13" s="18">
        <v>11</v>
      </c>
      <c r="B13" s="18">
        <v>78</v>
      </c>
      <c r="C13" s="20" t="s">
        <v>18</v>
      </c>
      <c r="D13" s="23" t="s">
        <v>19</v>
      </c>
      <c r="E13" s="18">
        <v>1</v>
      </c>
      <c r="F13" s="122" t="s">
        <v>31</v>
      </c>
      <c r="G13" s="36">
        <v>2400</v>
      </c>
      <c r="H13" s="36">
        <v>560</v>
      </c>
      <c r="I13" s="36">
        <f t="shared" si="0"/>
        <v>560</v>
      </c>
      <c r="J13" s="35">
        <v>0.6</v>
      </c>
      <c r="K13" s="36">
        <f t="shared" si="2"/>
        <v>336</v>
      </c>
      <c r="L13" s="36">
        <f t="shared" si="1"/>
        <v>336</v>
      </c>
      <c r="M13" s="23" t="s">
        <v>32</v>
      </c>
      <c r="N13" s="20" t="s">
        <v>17</v>
      </c>
    </row>
    <row r="14" spans="1:14" ht="18.75" customHeight="1">
      <c r="A14" s="18">
        <v>12</v>
      </c>
      <c r="B14" s="18">
        <v>81</v>
      </c>
      <c r="C14" s="20" t="s">
        <v>33</v>
      </c>
      <c r="D14" s="23" t="s">
        <v>15</v>
      </c>
      <c r="E14" s="18">
        <f>180-14</f>
        <v>166</v>
      </c>
      <c r="F14" s="122" t="s">
        <v>34</v>
      </c>
      <c r="G14" s="36">
        <v>36000</v>
      </c>
      <c r="H14" s="36">
        <f>ROUND((96.33+96.33+99.67)/3,0)</f>
        <v>97</v>
      </c>
      <c r="I14" s="36">
        <f t="shared" si="0"/>
        <v>16102</v>
      </c>
      <c r="J14" s="35">
        <v>0.6</v>
      </c>
      <c r="K14" s="36">
        <f t="shared" si="2"/>
        <v>58.199999999999996</v>
      </c>
      <c r="L14" s="36">
        <f t="shared" si="1"/>
        <v>9661</v>
      </c>
      <c r="M14" s="23" t="s">
        <v>35</v>
      </c>
      <c r="N14" s="20" t="s">
        <v>17</v>
      </c>
    </row>
    <row r="15" spans="1:14" ht="18.75" customHeight="1">
      <c r="A15" s="18">
        <v>13</v>
      </c>
      <c r="B15" s="18">
        <v>82</v>
      </c>
      <c r="C15" s="20" t="s">
        <v>36</v>
      </c>
      <c r="D15" s="23" t="s">
        <v>15</v>
      </c>
      <c r="E15" s="18">
        <f>129-5</f>
        <v>124</v>
      </c>
      <c r="F15" s="122" t="s">
        <v>34</v>
      </c>
      <c r="G15" s="36">
        <v>39600</v>
      </c>
      <c r="H15" s="36">
        <f>ROUND((96.33+96.33+99.67)/3,0)</f>
        <v>97</v>
      </c>
      <c r="I15" s="36">
        <f t="shared" si="0"/>
        <v>12028</v>
      </c>
      <c r="J15" s="35">
        <v>0.6</v>
      </c>
      <c r="K15" s="36">
        <f t="shared" si="2"/>
        <v>58.199999999999996</v>
      </c>
      <c r="L15" s="36">
        <f t="shared" si="1"/>
        <v>7217</v>
      </c>
      <c r="M15" s="23" t="s">
        <v>37</v>
      </c>
      <c r="N15" s="20" t="s">
        <v>17</v>
      </c>
    </row>
    <row r="16" spans="1:14" ht="18.75" customHeight="1">
      <c r="A16" s="18">
        <v>14</v>
      </c>
      <c r="B16" s="18">
        <v>337</v>
      </c>
      <c r="C16" s="20" t="s">
        <v>38</v>
      </c>
      <c r="D16" s="23" t="s">
        <v>15</v>
      </c>
      <c r="E16" s="18">
        <v>125</v>
      </c>
      <c r="F16" s="122" t="s">
        <v>34</v>
      </c>
      <c r="G16" s="36"/>
      <c r="H16" s="36">
        <f>ROUND((199+199+188)/18,0)</f>
        <v>33</v>
      </c>
      <c r="I16" s="36">
        <f>E16*H16</f>
        <v>4125</v>
      </c>
      <c r="J16" s="35">
        <v>0.6</v>
      </c>
      <c r="K16" s="36">
        <f t="shared" si="2"/>
        <v>19.8</v>
      </c>
      <c r="L16" s="36">
        <f t="shared" si="1"/>
        <v>2475</v>
      </c>
      <c r="M16" s="125"/>
      <c r="N16" s="20" t="s">
        <v>39</v>
      </c>
    </row>
    <row r="17" spans="1:14" ht="18.75" customHeight="1">
      <c r="A17" s="18"/>
      <c r="B17" s="18">
        <v>339</v>
      </c>
      <c r="C17" s="20" t="s">
        <v>40</v>
      </c>
      <c r="D17" s="23" t="s">
        <v>41</v>
      </c>
      <c r="E17" s="18">
        <v>19</v>
      </c>
      <c r="F17" s="122" t="s">
        <v>42</v>
      </c>
      <c r="G17" s="36"/>
      <c r="H17" s="36">
        <f>ROUND((51.8+56.8+56.8)/3,0)*40*2</f>
        <v>4400</v>
      </c>
      <c r="I17" s="36">
        <f>E17*H17</f>
        <v>83600</v>
      </c>
      <c r="J17" s="35">
        <v>0.4</v>
      </c>
      <c r="K17" s="36">
        <f t="shared" si="2"/>
        <v>1760</v>
      </c>
      <c r="L17" s="36">
        <f t="shared" si="1"/>
        <v>33440</v>
      </c>
      <c r="M17" s="125" t="s">
        <v>43</v>
      </c>
      <c r="N17" s="20" t="s">
        <v>39</v>
      </c>
    </row>
    <row r="18" spans="1:14" ht="18.75" customHeight="1">
      <c r="A18" s="18"/>
      <c r="B18" s="18">
        <v>338</v>
      </c>
      <c r="C18" s="20" t="s">
        <v>44</v>
      </c>
      <c r="D18" s="23" t="s">
        <v>45</v>
      </c>
      <c r="E18" s="18">
        <v>3.5</v>
      </c>
      <c r="F18" s="122" t="s">
        <v>42</v>
      </c>
      <c r="G18" s="36"/>
      <c r="H18" s="36">
        <f>ROUND((28.8+29.8+29.8)/3,0)*40*2</f>
        <v>2320</v>
      </c>
      <c r="I18" s="36">
        <f>E18*H18</f>
        <v>8120</v>
      </c>
      <c r="J18" s="35">
        <v>0.4</v>
      </c>
      <c r="K18" s="36">
        <f t="shared" si="2"/>
        <v>928</v>
      </c>
      <c r="L18" s="36">
        <f t="shared" si="1"/>
        <v>3248</v>
      </c>
      <c r="M18" s="125" t="s">
        <v>46</v>
      </c>
      <c r="N18" s="20" t="s">
        <v>39</v>
      </c>
    </row>
    <row r="19" spans="1:14" ht="18.75" customHeight="1">
      <c r="A19" s="69" t="s">
        <v>47</v>
      </c>
      <c r="B19" s="18"/>
      <c r="C19" s="18"/>
      <c r="D19" s="18"/>
      <c r="E19" s="70">
        <f>SUM(E3:E18)</f>
        <v>513.5</v>
      </c>
      <c r="F19" s="123"/>
      <c r="G19" s="36">
        <f>SUM(G3:G18)</f>
        <v>124800</v>
      </c>
      <c r="H19" s="123"/>
      <c r="I19" s="86">
        <f>SUM(I3:I18)</f>
        <v>131138.4</v>
      </c>
      <c r="J19" s="123"/>
      <c r="K19" s="36"/>
      <c r="L19" s="36">
        <f>SUM(L3:L18)</f>
        <v>60341</v>
      </c>
      <c r="M19" s="123"/>
      <c r="N19" s="123"/>
    </row>
  </sheetData>
  <sheetProtection/>
  <mergeCells count="14">
    <mergeCell ref="H1:I1"/>
    <mergeCell ref="K1:L1"/>
    <mergeCell ref="A19:D19"/>
    <mergeCell ref="A1:A2"/>
    <mergeCell ref="A16:A18"/>
    <mergeCell ref="B1:B2"/>
    <mergeCell ref="C1:C2"/>
    <mergeCell ref="D1:D2"/>
    <mergeCell ref="E1:E2"/>
    <mergeCell ref="F1:F2"/>
    <mergeCell ref="G1:G2"/>
    <mergeCell ref="J1:J2"/>
    <mergeCell ref="M1:M2"/>
    <mergeCell ref="N1:N2"/>
  </mergeCells>
  <printOptions/>
  <pageMargins left="0.75" right="0.75" top="0.5506944444444445" bottom="0.3541666666666667" header="0.5" footer="0.3541666666666667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SheetLayoutView="100" workbookViewId="0" topLeftCell="A1">
      <selection activeCell="X6" sqref="X6"/>
    </sheetView>
  </sheetViews>
  <sheetFormatPr defaultColWidth="9.00390625" defaultRowHeight="14.25"/>
  <cols>
    <col min="1" max="1" width="3.50390625" style="56" customWidth="1"/>
    <col min="2" max="2" width="4.25390625" style="56" customWidth="1"/>
    <col min="3" max="3" width="14.75390625" style="4" customWidth="1"/>
    <col min="4" max="4" width="5.375" style="56" customWidth="1"/>
    <col min="5" max="5" width="5.50390625" style="56" customWidth="1"/>
    <col min="6" max="6" width="5.25390625" style="56" customWidth="1"/>
    <col min="7" max="7" width="16.125" style="56" customWidth="1"/>
    <col min="8" max="8" width="11.25390625" style="56" hidden="1" customWidth="1"/>
    <col min="9" max="9" width="11.625" style="56" hidden="1" customWidth="1"/>
    <col min="10" max="10" width="11.75390625" style="56" hidden="1" customWidth="1"/>
    <col min="11" max="11" width="15.125" style="89" customWidth="1"/>
    <col min="12" max="12" width="6.00390625" style="56" customWidth="1"/>
    <col min="13" max="13" width="11.75390625" style="96" customWidth="1"/>
    <col min="14" max="14" width="6.25390625" style="97" customWidth="1"/>
    <col min="15" max="15" width="10.375" style="97" customWidth="1"/>
    <col min="16" max="16" width="11.75390625" style="96" customWidth="1"/>
    <col min="17" max="17" width="12.875" style="56" customWidth="1"/>
    <col min="18" max="18" width="12.50390625" style="56" customWidth="1"/>
    <col min="19" max="16384" width="9.00390625" style="56" customWidth="1"/>
  </cols>
  <sheetData>
    <row r="1" spans="1:18" s="74" customFormat="1" ht="18.75" customHeight="1">
      <c r="A1" s="57" t="s">
        <v>0</v>
      </c>
      <c r="B1" s="58" t="s">
        <v>1</v>
      </c>
      <c r="C1" s="59" t="s">
        <v>2</v>
      </c>
      <c r="D1" s="60" t="s">
        <v>3</v>
      </c>
      <c r="E1" s="57" t="s">
        <v>4</v>
      </c>
      <c r="F1" s="61" t="s">
        <v>48</v>
      </c>
      <c r="G1" s="57" t="s">
        <v>5</v>
      </c>
      <c r="H1" s="77" t="s">
        <v>6</v>
      </c>
      <c r="I1" s="57" t="s">
        <v>49</v>
      </c>
      <c r="J1" s="57"/>
      <c r="K1" s="101" t="s">
        <v>7</v>
      </c>
      <c r="L1" s="102"/>
      <c r="M1" s="58"/>
      <c r="N1" s="103" t="s">
        <v>8</v>
      </c>
      <c r="O1" s="104" t="s">
        <v>9</v>
      </c>
      <c r="P1" s="105"/>
      <c r="Q1" s="77" t="s">
        <v>10</v>
      </c>
      <c r="R1" s="61" t="s">
        <v>11</v>
      </c>
    </row>
    <row r="2" spans="1:18" s="74" customFormat="1" ht="30" customHeight="1">
      <c r="A2" s="57"/>
      <c r="B2" s="62"/>
      <c r="C2" s="63"/>
      <c r="D2" s="64"/>
      <c r="E2" s="57"/>
      <c r="F2" s="65"/>
      <c r="G2" s="57"/>
      <c r="H2" s="98"/>
      <c r="I2" s="106" t="s">
        <v>50</v>
      </c>
      <c r="J2" s="106" t="s">
        <v>51</v>
      </c>
      <c r="K2" s="60" t="s">
        <v>52</v>
      </c>
      <c r="L2" s="60" t="s">
        <v>53</v>
      </c>
      <c r="M2" s="107" t="s">
        <v>13</v>
      </c>
      <c r="N2" s="108"/>
      <c r="O2" s="109" t="s">
        <v>12</v>
      </c>
      <c r="P2" s="104" t="s">
        <v>13</v>
      </c>
      <c r="Q2" s="98"/>
      <c r="R2" s="65"/>
    </row>
    <row r="3" spans="1:18" ht="21" customHeight="1">
      <c r="A3" s="18">
        <v>1</v>
      </c>
      <c r="B3" s="19">
        <v>3</v>
      </c>
      <c r="C3" s="20" t="s">
        <v>54</v>
      </c>
      <c r="D3" s="23" t="s">
        <v>55</v>
      </c>
      <c r="E3" s="21">
        <v>1</v>
      </c>
      <c r="F3" s="20" t="s">
        <v>56</v>
      </c>
      <c r="G3" s="20" t="s">
        <v>57</v>
      </c>
      <c r="H3" s="18">
        <v>3000</v>
      </c>
      <c r="I3" s="18">
        <v>30000</v>
      </c>
      <c r="J3" s="18">
        <v>28000</v>
      </c>
      <c r="K3" s="36">
        <f>ROUND((7280+7280+8423.25)/3,0)</f>
        <v>7661</v>
      </c>
      <c r="L3" s="35">
        <v>1</v>
      </c>
      <c r="M3" s="36">
        <f>ROUND(K3*L3*E3,0)</f>
        <v>7661</v>
      </c>
      <c r="N3" s="35">
        <v>0.1</v>
      </c>
      <c r="O3" s="36">
        <f>ROUND(K3*L3*N3,0)</f>
        <v>766</v>
      </c>
      <c r="P3" s="36">
        <f>O3*E3</f>
        <v>766</v>
      </c>
      <c r="Q3" s="20" t="s">
        <v>58</v>
      </c>
      <c r="R3" s="20" t="s">
        <v>59</v>
      </c>
    </row>
    <row r="4" spans="1:18" ht="21" customHeight="1">
      <c r="A4" s="18">
        <v>2</v>
      </c>
      <c r="B4" s="19">
        <v>4</v>
      </c>
      <c r="C4" s="20" t="s">
        <v>60</v>
      </c>
      <c r="D4" s="23" t="s">
        <v>61</v>
      </c>
      <c r="E4" s="21">
        <v>1</v>
      </c>
      <c r="F4" s="20"/>
      <c r="G4" s="20" t="s">
        <v>62</v>
      </c>
      <c r="H4" s="18">
        <v>500</v>
      </c>
      <c r="I4" s="18">
        <f>1.8*0.9*799</f>
        <v>1294.38</v>
      </c>
      <c r="J4" s="18">
        <f>1.8*0.9*900</f>
        <v>1458</v>
      </c>
      <c r="K4" s="36">
        <f>ROUND((1190+1380+1247)/3,0)</f>
        <v>1272</v>
      </c>
      <c r="L4" s="35">
        <v>0.3</v>
      </c>
      <c r="M4" s="36">
        <f aca="true" t="shared" si="0" ref="M4:M9">ROUND(K4*L4,0)</f>
        <v>382</v>
      </c>
      <c r="N4" s="35">
        <v>0.4</v>
      </c>
      <c r="O4" s="36">
        <f>ROUND(K4*L4*N4,0)</f>
        <v>153</v>
      </c>
      <c r="P4" s="36">
        <f aca="true" t="shared" si="1" ref="P4:P27">O4*E4</f>
        <v>153</v>
      </c>
      <c r="Q4" s="20" t="s">
        <v>63</v>
      </c>
      <c r="R4" s="20" t="s">
        <v>59</v>
      </c>
    </row>
    <row r="5" spans="1:18" ht="21" customHeight="1">
      <c r="A5" s="18">
        <v>3</v>
      </c>
      <c r="B5" s="19">
        <v>5</v>
      </c>
      <c r="C5" s="20" t="s">
        <v>64</v>
      </c>
      <c r="D5" s="23" t="s">
        <v>61</v>
      </c>
      <c r="E5" s="21">
        <v>1</v>
      </c>
      <c r="F5" s="20"/>
      <c r="G5" s="20" t="s">
        <v>65</v>
      </c>
      <c r="H5" s="18">
        <v>1000</v>
      </c>
      <c r="I5" s="18">
        <f>2*2.12*799</f>
        <v>3387.76</v>
      </c>
      <c r="J5" s="18">
        <f>2*2.12*900</f>
        <v>3816</v>
      </c>
      <c r="K5" s="36">
        <f>ROUND((1190+1380+1247)/3,0)</f>
        <v>1272</v>
      </c>
      <c r="L5" s="35">
        <v>0.3</v>
      </c>
      <c r="M5" s="36">
        <f t="shared" si="0"/>
        <v>382</v>
      </c>
      <c r="N5" s="35">
        <v>0.4</v>
      </c>
      <c r="O5" s="36">
        <f aca="true" t="shared" si="2" ref="O5:O27">ROUND(K5*L5*N5,0)</f>
        <v>153</v>
      </c>
      <c r="P5" s="36">
        <f t="shared" si="1"/>
        <v>153</v>
      </c>
      <c r="Q5" s="20" t="s">
        <v>63</v>
      </c>
      <c r="R5" s="20" t="s">
        <v>59</v>
      </c>
    </row>
    <row r="6" spans="1:18" ht="21" customHeight="1">
      <c r="A6" s="18">
        <v>4</v>
      </c>
      <c r="B6" s="19">
        <v>6</v>
      </c>
      <c r="C6" s="20" t="s">
        <v>66</v>
      </c>
      <c r="D6" s="23" t="s">
        <v>61</v>
      </c>
      <c r="E6" s="21">
        <v>1</v>
      </c>
      <c r="F6" s="20"/>
      <c r="G6" s="20" t="s">
        <v>67</v>
      </c>
      <c r="H6" s="18">
        <v>500</v>
      </c>
      <c r="I6" s="18">
        <v>373</v>
      </c>
      <c r="J6" s="18">
        <f>1.05*1.09*900</f>
        <v>1030.05</v>
      </c>
      <c r="K6" s="36">
        <f>ROUND((1190+1380+1247)/3,0)</f>
        <v>1272</v>
      </c>
      <c r="L6" s="35">
        <v>0.3</v>
      </c>
      <c r="M6" s="36">
        <f t="shared" si="0"/>
        <v>382</v>
      </c>
      <c r="N6" s="35">
        <v>0.4</v>
      </c>
      <c r="O6" s="36">
        <f t="shared" si="2"/>
        <v>153</v>
      </c>
      <c r="P6" s="36">
        <f t="shared" si="1"/>
        <v>153</v>
      </c>
      <c r="Q6" s="20"/>
      <c r="R6" s="20" t="s">
        <v>59</v>
      </c>
    </row>
    <row r="7" spans="1:18" ht="21" customHeight="1">
      <c r="A7" s="18">
        <v>5</v>
      </c>
      <c r="B7" s="19">
        <v>10</v>
      </c>
      <c r="C7" s="20" t="s">
        <v>68</v>
      </c>
      <c r="D7" s="23" t="s">
        <v>55</v>
      </c>
      <c r="E7" s="18">
        <v>2</v>
      </c>
      <c r="F7" s="20" t="s">
        <v>56</v>
      </c>
      <c r="G7" s="20" t="s">
        <v>69</v>
      </c>
      <c r="H7" s="18">
        <v>5000</v>
      </c>
      <c r="I7" s="18">
        <v>40000</v>
      </c>
      <c r="J7" s="18">
        <v>36000</v>
      </c>
      <c r="K7" s="36">
        <f>ROUND((18500+18919+17000)/3,0)</f>
        <v>18140</v>
      </c>
      <c r="L7" s="35">
        <v>1</v>
      </c>
      <c r="M7" s="36">
        <f t="shared" si="0"/>
        <v>18140</v>
      </c>
      <c r="N7" s="35">
        <v>0.6</v>
      </c>
      <c r="O7" s="36">
        <f t="shared" si="2"/>
        <v>10884</v>
      </c>
      <c r="P7" s="36">
        <f t="shared" si="1"/>
        <v>21768</v>
      </c>
      <c r="Q7" s="20" t="s">
        <v>70</v>
      </c>
      <c r="R7" s="20" t="s">
        <v>59</v>
      </c>
    </row>
    <row r="8" spans="1:18" ht="21" customHeight="1">
      <c r="A8" s="18">
        <v>6</v>
      </c>
      <c r="B8" s="19">
        <v>29</v>
      </c>
      <c r="C8" s="20" t="s">
        <v>71</v>
      </c>
      <c r="D8" s="23" t="s">
        <v>55</v>
      </c>
      <c r="E8" s="18">
        <v>1</v>
      </c>
      <c r="F8" s="20" t="s">
        <v>56</v>
      </c>
      <c r="G8" s="20" t="s">
        <v>72</v>
      </c>
      <c r="H8" s="18">
        <v>5000</v>
      </c>
      <c r="I8" s="18">
        <v>30000</v>
      </c>
      <c r="J8" s="18">
        <v>36000</v>
      </c>
      <c r="K8" s="36">
        <f>ROUND((27800+28800+25500)/3,0)</f>
        <v>27367</v>
      </c>
      <c r="L8" s="35">
        <v>1</v>
      </c>
      <c r="M8" s="36">
        <f t="shared" si="0"/>
        <v>27367</v>
      </c>
      <c r="N8" s="35">
        <v>0.6</v>
      </c>
      <c r="O8" s="36">
        <f t="shared" si="2"/>
        <v>16420</v>
      </c>
      <c r="P8" s="36">
        <f t="shared" si="1"/>
        <v>16420</v>
      </c>
      <c r="Q8" s="20" t="s">
        <v>73</v>
      </c>
      <c r="R8" s="20" t="s">
        <v>59</v>
      </c>
    </row>
    <row r="9" spans="1:18" ht="21" customHeight="1">
      <c r="A9" s="18">
        <v>7</v>
      </c>
      <c r="B9" s="19">
        <v>30</v>
      </c>
      <c r="C9" s="20" t="s">
        <v>74</v>
      </c>
      <c r="D9" s="23" t="s">
        <v>55</v>
      </c>
      <c r="E9" s="18">
        <v>1</v>
      </c>
      <c r="F9" s="20" t="s">
        <v>75</v>
      </c>
      <c r="G9" s="20" t="s">
        <v>76</v>
      </c>
      <c r="H9" s="18">
        <v>13000</v>
      </c>
      <c r="I9" s="18">
        <v>30000</v>
      </c>
      <c r="J9" s="18">
        <v>80000</v>
      </c>
      <c r="K9" s="36">
        <f>ROUND((33800+34000+35800)/3,0)</f>
        <v>34533</v>
      </c>
      <c r="L9" s="35">
        <v>1</v>
      </c>
      <c r="M9" s="36">
        <f t="shared" si="0"/>
        <v>34533</v>
      </c>
      <c r="N9" s="35">
        <v>0.6</v>
      </c>
      <c r="O9" s="36">
        <f t="shared" si="2"/>
        <v>20720</v>
      </c>
      <c r="P9" s="36">
        <f t="shared" si="1"/>
        <v>20720</v>
      </c>
      <c r="Q9" s="20" t="s">
        <v>77</v>
      </c>
      <c r="R9" s="20" t="s">
        <v>59</v>
      </c>
    </row>
    <row r="10" spans="1:18" ht="21" customHeight="1">
      <c r="A10" s="18">
        <v>8</v>
      </c>
      <c r="B10" s="19">
        <v>45</v>
      </c>
      <c r="C10" s="20" t="s">
        <v>78</v>
      </c>
      <c r="D10" s="23" t="s">
        <v>79</v>
      </c>
      <c r="E10" s="18">
        <v>2</v>
      </c>
      <c r="F10" s="20" t="s">
        <v>56</v>
      </c>
      <c r="G10" s="20" t="s">
        <v>80</v>
      </c>
      <c r="H10" s="18">
        <v>1500</v>
      </c>
      <c r="I10" s="18">
        <v>15000</v>
      </c>
      <c r="J10" s="18">
        <v>12000</v>
      </c>
      <c r="K10" s="36">
        <f>ROUND((8500+8400+9200)/3,0)</f>
        <v>8700</v>
      </c>
      <c r="L10" s="35">
        <v>1</v>
      </c>
      <c r="M10" s="36">
        <f aca="true" t="shared" si="3" ref="M10:M27">ROUND(K10*L10*E10,0)</f>
        <v>17400</v>
      </c>
      <c r="N10" s="35">
        <v>0.6</v>
      </c>
      <c r="O10" s="36">
        <f t="shared" si="2"/>
        <v>5220</v>
      </c>
      <c r="P10" s="36">
        <f t="shared" si="1"/>
        <v>10440</v>
      </c>
      <c r="Q10" s="20"/>
      <c r="R10" s="20" t="s">
        <v>59</v>
      </c>
    </row>
    <row r="11" spans="1:18" ht="21" customHeight="1">
      <c r="A11" s="18">
        <v>9</v>
      </c>
      <c r="B11" s="19">
        <v>56</v>
      </c>
      <c r="C11" s="20" t="s">
        <v>81</v>
      </c>
      <c r="D11" s="23" t="s">
        <v>82</v>
      </c>
      <c r="E11" s="18">
        <v>1</v>
      </c>
      <c r="F11" s="20" t="s">
        <v>83</v>
      </c>
      <c r="G11" s="20" t="s">
        <v>84</v>
      </c>
      <c r="H11" s="18">
        <v>800</v>
      </c>
      <c r="I11" s="18">
        <v>5000</v>
      </c>
      <c r="J11" s="18">
        <v>2000</v>
      </c>
      <c r="K11" s="36">
        <f>ROUND((1988+2199+2000)/3,0)</f>
        <v>2062</v>
      </c>
      <c r="L11" s="35">
        <v>0.3</v>
      </c>
      <c r="M11" s="36">
        <f t="shared" si="3"/>
        <v>619</v>
      </c>
      <c r="N11" s="35">
        <v>0.6</v>
      </c>
      <c r="O11" s="36">
        <f t="shared" si="2"/>
        <v>371</v>
      </c>
      <c r="P11" s="36">
        <f t="shared" si="1"/>
        <v>371</v>
      </c>
      <c r="Q11" s="20" t="s">
        <v>85</v>
      </c>
      <c r="R11" s="20" t="s">
        <v>59</v>
      </c>
    </row>
    <row r="12" spans="1:18" ht="21" customHeight="1">
      <c r="A12" s="18">
        <v>10</v>
      </c>
      <c r="B12" s="19">
        <v>57</v>
      </c>
      <c r="C12" s="20" t="s">
        <v>86</v>
      </c>
      <c r="D12" s="23" t="s">
        <v>79</v>
      </c>
      <c r="E12" s="18">
        <v>2</v>
      </c>
      <c r="F12" s="20" t="s">
        <v>83</v>
      </c>
      <c r="G12" s="20" t="s">
        <v>87</v>
      </c>
      <c r="H12" s="18">
        <v>2500</v>
      </c>
      <c r="I12" s="18">
        <v>2000</v>
      </c>
      <c r="J12" s="18">
        <v>2000</v>
      </c>
      <c r="K12" s="36">
        <f>ROUND((960+990+930)/3,0)</f>
        <v>960</v>
      </c>
      <c r="L12" s="35">
        <v>0.8</v>
      </c>
      <c r="M12" s="36">
        <f t="shared" si="3"/>
        <v>1536</v>
      </c>
      <c r="N12" s="35">
        <v>0.5</v>
      </c>
      <c r="O12" s="36">
        <f t="shared" si="2"/>
        <v>384</v>
      </c>
      <c r="P12" s="36">
        <f t="shared" si="1"/>
        <v>768</v>
      </c>
      <c r="Q12" s="20"/>
      <c r="R12" s="20" t="s">
        <v>59</v>
      </c>
    </row>
    <row r="13" spans="1:18" ht="21" customHeight="1">
      <c r="A13" s="18">
        <v>11</v>
      </c>
      <c r="B13" s="19">
        <v>62</v>
      </c>
      <c r="C13" s="20" t="s">
        <v>88</v>
      </c>
      <c r="D13" s="23" t="s">
        <v>55</v>
      </c>
      <c r="E13" s="18">
        <v>1</v>
      </c>
      <c r="F13" s="20" t="s">
        <v>83</v>
      </c>
      <c r="G13" s="20" t="s">
        <v>89</v>
      </c>
      <c r="H13" s="18">
        <v>1000</v>
      </c>
      <c r="I13" s="18"/>
      <c r="J13" s="18">
        <v>10000</v>
      </c>
      <c r="K13" s="36">
        <f>ROUND((4760+5330+5350)/3,0)</f>
        <v>5147</v>
      </c>
      <c r="L13" s="35">
        <v>0.8</v>
      </c>
      <c r="M13" s="36">
        <f t="shared" si="3"/>
        <v>4118</v>
      </c>
      <c r="N13" s="35">
        <v>0.5</v>
      </c>
      <c r="O13" s="36">
        <f t="shared" si="2"/>
        <v>2059</v>
      </c>
      <c r="P13" s="36">
        <f t="shared" si="1"/>
        <v>2059</v>
      </c>
      <c r="Q13" s="20" t="s">
        <v>90</v>
      </c>
      <c r="R13" s="20" t="s">
        <v>17</v>
      </c>
    </row>
    <row r="14" spans="1:18" ht="21" customHeight="1">
      <c r="A14" s="18">
        <v>12</v>
      </c>
      <c r="B14" s="19">
        <v>63</v>
      </c>
      <c r="C14" s="20" t="s">
        <v>91</v>
      </c>
      <c r="D14" s="23" t="s">
        <v>79</v>
      </c>
      <c r="E14" s="18">
        <v>1</v>
      </c>
      <c r="F14" s="20" t="s">
        <v>92</v>
      </c>
      <c r="G14" s="20" t="s">
        <v>93</v>
      </c>
      <c r="H14" s="18">
        <v>800</v>
      </c>
      <c r="I14" s="18"/>
      <c r="J14" s="18">
        <v>30000</v>
      </c>
      <c r="K14" s="36">
        <f>ROUND((13500+14000+13800)/3,0)</f>
        <v>13767</v>
      </c>
      <c r="L14" s="35">
        <v>1</v>
      </c>
      <c r="M14" s="36">
        <f t="shared" si="3"/>
        <v>13767</v>
      </c>
      <c r="N14" s="35">
        <v>0.6</v>
      </c>
      <c r="O14" s="36">
        <f t="shared" si="2"/>
        <v>8260</v>
      </c>
      <c r="P14" s="36">
        <f t="shared" si="1"/>
        <v>8260</v>
      </c>
      <c r="Q14" s="20"/>
      <c r="R14" s="20" t="s">
        <v>17</v>
      </c>
    </row>
    <row r="15" spans="1:18" ht="21" customHeight="1">
      <c r="A15" s="18">
        <v>13</v>
      </c>
      <c r="B15" s="19">
        <v>67</v>
      </c>
      <c r="C15" s="20" t="s">
        <v>94</v>
      </c>
      <c r="D15" s="23" t="s">
        <v>82</v>
      </c>
      <c r="E15" s="18">
        <v>1</v>
      </c>
      <c r="F15" s="20" t="s">
        <v>95</v>
      </c>
      <c r="G15" s="20"/>
      <c r="H15" s="18">
        <v>1000</v>
      </c>
      <c r="I15" s="18"/>
      <c r="J15" s="18">
        <v>1000</v>
      </c>
      <c r="K15" s="36">
        <f>ROUND((1299+1166+1160)/3,0)</f>
        <v>1208</v>
      </c>
      <c r="L15" s="35">
        <v>0.3</v>
      </c>
      <c r="M15" s="36">
        <f t="shared" si="3"/>
        <v>362</v>
      </c>
      <c r="N15" s="35">
        <v>0.5</v>
      </c>
      <c r="O15" s="36">
        <f t="shared" si="2"/>
        <v>181</v>
      </c>
      <c r="P15" s="36">
        <f t="shared" si="1"/>
        <v>181</v>
      </c>
      <c r="Q15" s="20" t="s">
        <v>96</v>
      </c>
      <c r="R15" s="20" t="s">
        <v>17</v>
      </c>
    </row>
    <row r="16" spans="1:18" ht="21" customHeight="1">
      <c r="A16" s="18">
        <v>14</v>
      </c>
      <c r="B16" s="19">
        <v>79</v>
      </c>
      <c r="C16" s="20" t="s">
        <v>97</v>
      </c>
      <c r="D16" s="23" t="s">
        <v>82</v>
      </c>
      <c r="E16" s="18">
        <v>1</v>
      </c>
      <c r="F16" s="20" t="s">
        <v>95</v>
      </c>
      <c r="G16" s="20" t="s">
        <v>98</v>
      </c>
      <c r="H16" s="18">
        <v>1000</v>
      </c>
      <c r="I16" s="18"/>
      <c r="J16" s="18">
        <v>1500</v>
      </c>
      <c r="K16" s="36">
        <f>ROUND((1280+1388+1358)/3,0)</f>
        <v>1342</v>
      </c>
      <c r="L16" s="35">
        <v>0.3</v>
      </c>
      <c r="M16" s="36">
        <f t="shared" si="3"/>
        <v>403</v>
      </c>
      <c r="N16" s="35">
        <v>0.5</v>
      </c>
      <c r="O16" s="36">
        <f t="shared" si="2"/>
        <v>201</v>
      </c>
      <c r="P16" s="36">
        <f t="shared" si="1"/>
        <v>201</v>
      </c>
      <c r="Q16" s="20" t="s">
        <v>81</v>
      </c>
      <c r="R16" s="20" t="s">
        <v>17</v>
      </c>
    </row>
    <row r="17" spans="1:18" s="55" customFormat="1" ht="21" customHeight="1">
      <c r="A17" s="18">
        <v>15</v>
      </c>
      <c r="B17" s="19">
        <v>84</v>
      </c>
      <c r="C17" s="20" t="s">
        <v>99</v>
      </c>
      <c r="D17" s="23" t="s">
        <v>100</v>
      </c>
      <c r="E17" s="18">
        <v>6</v>
      </c>
      <c r="F17" s="20" t="s">
        <v>101</v>
      </c>
      <c r="G17" s="20"/>
      <c r="H17" s="18">
        <v>1200</v>
      </c>
      <c r="I17" s="18"/>
      <c r="J17" s="18">
        <v>600</v>
      </c>
      <c r="K17" s="36">
        <f>ROUND((129+133+150)/3,0)</f>
        <v>137</v>
      </c>
      <c r="L17" s="35">
        <v>0.8</v>
      </c>
      <c r="M17" s="36">
        <f t="shared" si="3"/>
        <v>658</v>
      </c>
      <c r="N17" s="35">
        <v>0.5</v>
      </c>
      <c r="O17" s="36">
        <f t="shared" si="2"/>
        <v>55</v>
      </c>
      <c r="P17" s="36">
        <f t="shared" si="1"/>
        <v>330</v>
      </c>
      <c r="Q17" s="20"/>
      <c r="R17" s="20" t="s">
        <v>17</v>
      </c>
    </row>
    <row r="18" spans="1:18" ht="24" customHeight="1">
      <c r="A18" s="18">
        <v>16</v>
      </c>
      <c r="B18" s="19">
        <v>174</v>
      </c>
      <c r="C18" s="20" t="s">
        <v>81</v>
      </c>
      <c r="D18" s="23" t="s">
        <v>55</v>
      </c>
      <c r="E18" s="18">
        <v>1</v>
      </c>
      <c r="F18" s="20" t="s">
        <v>102</v>
      </c>
      <c r="G18" s="20" t="s">
        <v>103</v>
      </c>
      <c r="H18" s="18">
        <v>1000</v>
      </c>
      <c r="I18" s="18">
        <v>8000</v>
      </c>
      <c r="J18" s="18">
        <f>2000+4000</f>
        <v>6000</v>
      </c>
      <c r="K18" s="36">
        <f>ROUND((3880+3880+3480)/3,0)</f>
        <v>3747</v>
      </c>
      <c r="L18" s="35">
        <v>1</v>
      </c>
      <c r="M18" s="36">
        <f t="shared" si="3"/>
        <v>3747</v>
      </c>
      <c r="N18" s="35">
        <v>0.5</v>
      </c>
      <c r="O18" s="36">
        <f t="shared" si="2"/>
        <v>1874</v>
      </c>
      <c r="P18" s="36">
        <f t="shared" si="1"/>
        <v>1874</v>
      </c>
      <c r="Q18" s="66" t="s">
        <v>104</v>
      </c>
      <c r="R18" s="20" t="s">
        <v>17</v>
      </c>
    </row>
    <row r="19" spans="1:18" ht="21" customHeight="1">
      <c r="A19" s="18">
        <v>17</v>
      </c>
      <c r="B19" s="19">
        <v>175</v>
      </c>
      <c r="C19" s="20" t="s">
        <v>105</v>
      </c>
      <c r="D19" s="23" t="s">
        <v>82</v>
      </c>
      <c r="E19" s="18">
        <v>1</v>
      </c>
      <c r="F19" s="20" t="s">
        <v>102</v>
      </c>
      <c r="G19" s="20" t="s">
        <v>106</v>
      </c>
      <c r="H19" s="18">
        <v>1500</v>
      </c>
      <c r="I19" s="18">
        <v>5000</v>
      </c>
      <c r="J19" s="18">
        <v>1800</v>
      </c>
      <c r="K19" s="36">
        <f>ROUND((1150+1230+1590)/3,0)</f>
        <v>1323</v>
      </c>
      <c r="L19" s="35">
        <v>1</v>
      </c>
      <c r="M19" s="36">
        <f t="shared" si="3"/>
        <v>1323</v>
      </c>
      <c r="N19" s="35">
        <v>0.5</v>
      </c>
      <c r="O19" s="36">
        <f t="shared" si="2"/>
        <v>662</v>
      </c>
      <c r="P19" s="36">
        <f t="shared" si="1"/>
        <v>662</v>
      </c>
      <c r="Q19" s="20"/>
      <c r="R19" s="20" t="s">
        <v>17</v>
      </c>
    </row>
    <row r="20" spans="1:18" ht="21" customHeight="1">
      <c r="A20" s="18">
        <v>18</v>
      </c>
      <c r="B20" s="19">
        <v>179</v>
      </c>
      <c r="C20" s="20" t="s">
        <v>107</v>
      </c>
      <c r="D20" s="23" t="s">
        <v>82</v>
      </c>
      <c r="E20" s="18">
        <v>1</v>
      </c>
      <c r="F20" s="20" t="s">
        <v>108</v>
      </c>
      <c r="G20" s="20" t="s">
        <v>109</v>
      </c>
      <c r="H20" s="18">
        <v>3000</v>
      </c>
      <c r="I20" s="18">
        <v>10000</v>
      </c>
      <c r="J20" s="18">
        <v>8000</v>
      </c>
      <c r="K20" s="36">
        <f>ROUND((2580+2680+2600)/3,0)</f>
        <v>2620</v>
      </c>
      <c r="L20" s="35">
        <v>1</v>
      </c>
      <c r="M20" s="36">
        <f t="shared" si="3"/>
        <v>2620</v>
      </c>
      <c r="N20" s="35">
        <v>0.5</v>
      </c>
      <c r="O20" s="36">
        <f t="shared" si="2"/>
        <v>1310</v>
      </c>
      <c r="P20" s="36">
        <f t="shared" si="1"/>
        <v>1310</v>
      </c>
      <c r="Q20" s="20"/>
      <c r="R20" s="20" t="s">
        <v>110</v>
      </c>
    </row>
    <row r="21" spans="1:18" s="55" customFormat="1" ht="21" customHeight="1">
      <c r="A21" s="18">
        <v>19</v>
      </c>
      <c r="B21" s="19">
        <v>181</v>
      </c>
      <c r="C21" s="20" t="s">
        <v>111</v>
      </c>
      <c r="D21" s="23" t="s">
        <v>79</v>
      </c>
      <c r="E21" s="18">
        <v>3</v>
      </c>
      <c r="F21" s="20"/>
      <c r="G21" s="20"/>
      <c r="H21" s="18">
        <v>300</v>
      </c>
      <c r="I21" s="18"/>
      <c r="J21" s="18"/>
      <c r="K21" s="36">
        <v>250</v>
      </c>
      <c r="L21" s="35">
        <v>1</v>
      </c>
      <c r="M21" s="36">
        <f t="shared" si="3"/>
        <v>750</v>
      </c>
      <c r="N21" s="35">
        <v>0.5</v>
      </c>
      <c r="O21" s="36">
        <f t="shared" si="2"/>
        <v>125</v>
      </c>
      <c r="P21" s="36">
        <f t="shared" si="1"/>
        <v>375</v>
      </c>
      <c r="Q21" s="20" t="s">
        <v>112</v>
      </c>
      <c r="R21" s="20" t="s">
        <v>110</v>
      </c>
    </row>
    <row r="22" spans="1:18" ht="21" customHeight="1">
      <c r="A22" s="18">
        <v>20</v>
      </c>
      <c r="B22" s="19">
        <v>241</v>
      </c>
      <c r="C22" s="20" t="s">
        <v>113</v>
      </c>
      <c r="D22" s="23" t="s">
        <v>100</v>
      </c>
      <c r="E22" s="18">
        <v>1</v>
      </c>
      <c r="F22" s="20" t="s">
        <v>75</v>
      </c>
      <c r="G22" s="20"/>
      <c r="H22" s="18">
        <v>2000</v>
      </c>
      <c r="I22" s="18">
        <v>1000</v>
      </c>
      <c r="J22" s="18">
        <v>2000</v>
      </c>
      <c r="K22" s="36">
        <f>ROUND((708+725+698)/3,0)</f>
        <v>710</v>
      </c>
      <c r="L22" s="35">
        <v>1</v>
      </c>
      <c r="M22" s="36">
        <f t="shared" si="3"/>
        <v>710</v>
      </c>
      <c r="N22" s="35">
        <v>0.6</v>
      </c>
      <c r="O22" s="36">
        <f t="shared" si="2"/>
        <v>426</v>
      </c>
      <c r="P22" s="36">
        <f t="shared" si="1"/>
        <v>426</v>
      </c>
      <c r="Q22" s="20"/>
      <c r="R22" s="20" t="s">
        <v>110</v>
      </c>
    </row>
    <row r="23" spans="1:18" ht="21" customHeight="1">
      <c r="A23" s="18">
        <v>21</v>
      </c>
      <c r="B23" s="19">
        <v>246</v>
      </c>
      <c r="C23" s="20" t="s">
        <v>114</v>
      </c>
      <c r="D23" s="23" t="s">
        <v>115</v>
      </c>
      <c r="E23" s="18">
        <v>1</v>
      </c>
      <c r="F23" s="20" t="s">
        <v>95</v>
      </c>
      <c r="G23" s="20" t="s">
        <v>116</v>
      </c>
      <c r="H23" s="18">
        <v>2000</v>
      </c>
      <c r="I23" s="18"/>
      <c r="J23" s="18">
        <v>2000</v>
      </c>
      <c r="K23" s="36">
        <v>4000</v>
      </c>
      <c r="L23" s="35">
        <v>1</v>
      </c>
      <c r="M23" s="36">
        <f t="shared" si="3"/>
        <v>4000</v>
      </c>
      <c r="N23" s="35">
        <v>0.5</v>
      </c>
      <c r="O23" s="36">
        <f t="shared" si="2"/>
        <v>2000</v>
      </c>
      <c r="P23" s="36">
        <f t="shared" si="1"/>
        <v>2000</v>
      </c>
      <c r="Q23" s="20"/>
      <c r="R23" s="20" t="s">
        <v>117</v>
      </c>
    </row>
    <row r="24" spans="1:18" ht="21" customHeight="1">
      <c r="A24" s="18">
        <v>22</v>
      </c>
      <c r="B24" s="19">
        <v>247</v>
      </c>
      <c r="C24" s="20" t="s">
        <v>118</v>
      </c>
      <c r="D24" s="23" t="s">
        <v>82</v>
      </c>
      <c r="E24" s="18">
        <v>1</v>
      </c>
      <c r="F24" s="20" t="s">
        <v>119</v>
      </c>
      <c r="G24" s="20" t="s">
        <v>120</v>
      </c>
      <c r="H24" s="18">
        <v>35000</v>
      </c>
      <c r="I24" s="18">
        <v>10000</v>
      </c>
      <c r="J24" s="18">
        <v>80000</v>
      </c>
      <c r="K24" s="36">
        <f>ROUND((6280+7500)/2,0)</f>
        <v>6890</v>
      </c>
      <c r="L24" s="35">
        <v>0.5</v>
      </c>
      <c r="M24" s="36">
        <f t="shared" si="3"/>
        <v>3445</v>
      </c>
      <c r="N24" s="35">
        <v>0.1</v>
      </c>
      <c r="O24" s="36">
        <f t="shared" si="2"/>
        <v>345</v>
      </c>
      <c r="P24" s="36">
        <f t="shared" si="1"/>
        <v>345</v>
      </c>
      <c r="Q24" s="20" t="s">
        <v>121</v>
      </c>
      <c r="R24" s="20" t="s">
        <v>117</v>
      </c>
    </row>
    <row r="25" spans="1:18" ht="21" customHeight="1">
      <c r="A25" s="18">
        <v>23</v>
      </c>
      <c r="B25" s="19">
        <v>248</v>
      </c>
      <c r="C25" s="20" t="s">
        <v>122</v>
      </c>
      <c r="D25" s="23" t="s">
        <v>100</v>
      </c>
      <c r="E25" s="18">
        <v>1</v>
      </c>
      <c r="F25" s="20" t="s">
        <v>56</v>
      </c>
      <c r="G25" s="20"/>
      <c r="H25" s="18">
        <v>300</v>
      </c>
      <c r="I25" s="18">
        <v>800</v>
      </c>
      <c r="J25" s="18">
        <v>1800</v>
      </c>
      <c r="K25" s="36">
        <f>ROUND((698+728+678)/3,0)</f>
        <v>701</v>
      </c>
      <c r="L25" s="35">
        <v>1</v>
      </c>
      <c r="M25" s="36">
        <f t="shared" si="3"/>
        <v>701</v>
      </c>
      <c r="N25" s="35">
        <v>0.6</v>
      </c>
      <c r="O25" s="36">
        <f t="shared" si="2"/>
        <v>421</v>
      </c>
      <c r="P25" s="36">
        <f t="shared" si="1"/>
        <v>421</v>
      </c>
      <c r="Q25" s="20"/>
      <c r="R25" s="20" t="s">
        <v>117</v>
      </c>
    </row>
    <row r="26" spans="1:18" ht="21" customHeight="1">
      <c r="A26" s="18">
        <v>24</v>
      </c>
      <c r="B26" s="19">
        <v>249</v>
      </c>
      <c r="C26" s="20" t="s">
        <v>91</v>
      </c>
      <c r="D26" s="23" t="s">
        <v>100</v>
      </c>
      <c r="E26" s="18">
        <v>1</v>
      </c>
      <c r="F26" s="20" t="s">
        <v>95</v>
      </c>
      <c r="G26" s="20" t="s">
        <v>123</v>
      </c>
      <c r="H26" s="18">
        <v>1000</v>
      </c>
      <c r="I26" s="18"/>
      <c r="J26" s="18">
        <v>1000</v>
      </c>
      <c r="K26" s="36">
        <f>ROUND((219+228+229)/3,0)</f>
        <v>225</v>
      </c>
      <c r="L26" s="35">
        <v>1</v>
      </c>
      <c r="M26" s="36">
        <f t="shared" si="3"/>
        <v>225</v>
      </c>
      <c r="N26" s="35">
        <v>0.5</v>
      </c>
      <c r="O26" s="36">
        <f t="shared" si="2"/>
        <v>113</v>
      </c>
      <c r="P26" s="36">
        <f t="shared" si="1"/>
        <v>113</v>
      </c>
      <c r="Q26" s="20"/>
      <c r="R26" s="20" t="s">
        <v>117</v>
      </c>
    </row>
    <row r="27" spans="1:18" ht="21" customHeight="1">
      <c r="A27" s="18">
        <v>25</v>
      </c>
      <c r="B27" s="19">
        <v>250</v>
      </c>
      <c r="C27" s="20" t="s">
        <v>124</v>
      </c>
      <c r="D27" s="23" t="s">
        <v>82</v>
      </c>
      <c r="E27" s="18">
        <v>1</v>
      </c>
      <c r="F27" s="20" t="s">
        <v>125</v>
      </c>
      <c r="G27" s="20" t="s">
        <v>126</v>
      </c>
      <c r="H27" s="18">
        <v>2500</v>
      </c>
      <c r="I27" s="18">
        <v>3000</v>
      </c>
      <c r="J27" s="18">
        <v>36000</v>
      </c>
      <c r="K27" s="36">
        <f>ROUND((38000*3/3),0)</f>
        <v>38000</v>
      </c>
      <c r="L27" s="35">
        <v>1</v>
      </c>
      <c r="M27" s="36">
        <f t="shared" si="3"/>
        <v>38000</v>
      </c>
      <c r="N27" s="35">
        <v>0.5</v>
      </c>
      <c r="O27" s="36">
        <f t="shared" si="2"/>
        <v>19000</v>
      </c>
      <c r="P27" s="36">
        <f t="shared" si="1"/>
        <v>19000</v>
      </c>
      <c r="Q27" s="20"/>
      <c r="R27" s="20" t="s">
        <v>117</v>
      </c>
    </row>
    <row r="28" spans="1:18" ht="18" customHeight="1">
      <c r="A28" s="18">
        <v>26</v>
      </c>
      <c r="B28" s="19">
        <v>251</v>
      </c>
      <c r="C28" s="20" t="s">
        <v>127</v>
      </c>
      <c r="D28" s="23" t="s">
        <v>82</v>
      </c>
      <c r="E28" s="18">
        <v>2</v>
      </c>
      <c r="F28" s="67" t="s">
        <v>108</v>
      </c>
      <c r="G28" s="20" t="s">
        <v>128</v>
      </c>
      <c r="H28" s="18">
        <v>1000</v>
      </c>
      <c r="I28" s="110">
        <v>5000</v>
      </c>
      <c r="J28" s="110">
        <v>4000</v>
      </c>
      <c r="K28" s="79">
        <f>ROUND((4180+4280+4560)/3,0)</f>
        <v>4340</v>
      </c>
      <c r="L28" s="80">
        <v>1</v>
      </c>
      <c r="M28" s="111">
        <f>K28*L28</f>
        <v>4340</v>
      </c>
      <c r="N28" s="80">
        <v>0.6</v>
      </c>
      <c r="O28" s="111">
        <f>K28*L28*N28</f>
        <v>2604</v>
      </c>
      <c r="P28" s="111">
        <f>ROUND(M28*N28,0)</f>
        <v>2604</v>
      </c>
      <c r="Q28" s="20"/>
      <c r="R28" s="20" t="s">
        <v>117</v>
      </c>
    </row>
    <row r="29" spans="1:18" ht="18" customHeight="1">
      <c r="A29" s="18">
        <v>27</v>
      </c>
      <c r="B29" s="19">
        <v>252</v>
      </c>
      <c r="C29" s="20" t="s">
        <v>129</v>
      </c>
      <c r="D29" s="23" t="s">
        <v>82</v>
      </c>
      <c r="E29" s="18">
        <v>1</v>
      </c>
      <c r="F29" s="68"/>
      <c r="G29" s="20" t="s">
        <v>130</v>
      </c>
      <c r="H29" s="18">
        <v>1000</v>
      </c>
      <c r="I29" s="112"/>
      <c r="J29" s="112"/>
      <c r="K29" s="82"/>
      <c r="L29" s="83"/>
      <c r="M29" s="113"/>
      <c r="N29" s="83"/>
      <c r="O29" s="113"/>
      <c r="P29" s="113"/>
      <c r="Q29" s="20"/>
      <c r="R29" s="20" t="s">
        <v>117</v>
      </c>
    </row>
    <row r="30" spans="1:18" ht="21" customHeight="1">
      <c r="A30" s="18">
        <v>28</v>
      </c>
      <c r="B30" s="19">
        <v>253</v>
      </c>
      <c r="C30" s="20" t="s">
        <v>131</v>
      </c>
      <c r="D30" s="23" t="s">
        <v>82</v>
      </c>
      <c r="E30" s="18">
        <v>1</v>
      </c>
      <c r="F30" s="20" t="s">
        <v>132</v>
      </c>
      <c r="G30" s="20"/>
      <c r="H30" s="18">
        <v>500</v>
      </c>
      <c r="I30" s="18"/>
      <c r="J30" s="18"/>
      <c r="K30" s="36">
        <f>ROUND((852+875+827.2)/3,0)</f>
        <v>851</v>
      </c>
      <c r="L30" s="35">
        <v>0.5</v>
      </c>
      <c r="M30" s="36">
        <f>ROUND(K30*L30*E30,0)</f>
        <v>426</v>
      </c>
      <c r="N30" s="35">
        <v>0.5</v>
      </c>
      <c r="O30" s="36">
        <f>ROUND(K30*L30*N30,0)</f>
        <v>213</v>
      </c>
      <c r="P30" s="36">
        <f>O30*E30</f>
        <v>213</v>
      </c>
      <c r="Q30" s="20" t="s">
        <v>133</v>
      </c>
      <c r="R30" s="20" t="s">
        <v>117</v>
      </c>
    </row>
    <row r="31" spans="1:18" ht="21" customHeight="1">
      <c r="A31" s="18">
        <v>29</v>
      </c>
      <c r="B31" s="19">
        <v>257</v>
      </c>
      <c r="C31" s="20" t="s">
        <v>134</v>
      </c>
      <c r="D31" s="23" t="s">
        <v>82</v>
      </c>
      <c r="E31" s="18">
        <v>1</v>
      </c>
      <c r="F31" s="20"/>
      <c r="G31" s="20" t="s">
        <v>135</v>
      </c>
      <c r="H31" s="18">
        <v>1000</v>
      </c>
      <c r="I31" s="18">
        <v>1920</v>
      </c>
      <c r="J31" s="18">
        <v>2000</v>
      </c>
      <c r="K31" s="36">
        <f>ROUND((1780*3/3),0)</f>
        <v>1780</v>
      </c>
      <c r="L31" s="35">
        <v>0.2</v>
      </c>
      <c r="M31" s="36">
        <f aca="true" t="shared" si="4" ref="M31:M51">ROUND(K31*L31*E31,0)</f>
        <v>356</v>
      </c>
      <c r="N31" s="35">
        <v>0.5</v>
      </c>
      <c r="O31" s="36">
        <f>ROUND(K31*L31*N31,0)</f>
        <v>178</v>
      </c>
      <c r="P31" s="36">
        <f aca="true" t="shared" si="5" ref="P31:P51">O31*E31</f>
        <v>178</v>
      </c>
      <c r="Q31" s="20"/>
      <c r="R31" s="20" t="s">
        <v>117</v>
      </c>
    </row>
    <row r="32" spans="1:18" ht="21" customHeight="1">
      <c r="A32" s="18">
        <v>30</v>
      </c>
      <c r="B32" s="19">
        <v>262</v>
      </c>
      <c r="C32" s="20" t="s">
        <v>124</v>
      </c>
      <c r="D32" s="23" t="s">
        <v>100</v>
      </c>
      <c r="E32" s="18">
        <v>1</v>
      </c>
      <c r="F32" s="20" t="s">
        <v>125</v>
      </c>
      <c r="G32" s="20" t="s">
        <v>136</v>
      </c>
      <c r="H32" s="18">
        <v>8000</v>
      </c>
      <c r="I32" s="18">
        <v>3000</v>
      </c>
      <c r="J32" s="18">
        <v>30000</v>
      </c>
      <c r="K32" s="36">
        <f>ROUND((19800+14800+16800)/3,0)</f>
        <v>17133</v>
      </c>
      <c r="L32" s="35">
        <v>1</v>
      </c>
      <c r="M32" s="36">
        <f t="shared" si="4"/>
        <v>17133</v>
      </c>
      <c r="N32" s="35">
        <v>0.5</v>
      </c>
      <c r="O32" s="36">
        <f>ROUND(K32*L32*N32,0)</f>
        <v>8567</v>
      </c>
      <c r="P32" s="36">
        <f t="shared" si="5"/>
        <v>8567</v>
      </c>
      <c r="Q32" s="20"/>
      <c r="R32" s="20" t="s">
        <v>117</v>
      </c>
    </row>
    <row r="33" spans="1:18" ht="21" customHeight="1">
      <c r="A33" s="18">
        <v>31</v>
      </c>
      <c r="B33" s="19">
        <v>263</v>
      </c>
      <c r="C33" s="20" t="s">
        <v>91</v>
      </c>
      <c r="D33" s="23" t="s">
        <v>100</v>
      </c>
      <c r="E33" s="18">
        <v>1</v>
      </c>
      <c r="F33" s="20" t="s">
        <v>95</v>
      </c>
      <c r="G33" s="20"/>
      <c r="H33" s="18">
        <v>500</v>
      </c>
      <c r="I33" s="18">
        <v>1000</v>
      </c>
      <c r="J33" s="18">
        <v>1000</v>
      </c>
      <c r="K33" s="36">
        <f>K26</f>
        <v>225</v>
      </c>
      <c r="L33" s="35">
        <v>1</v>
      </c>
      <c r="M33" s="36">
        <f t="shared" si="4"/>
        <v>225</v>
      </c>
      <c r="N33" s="35">
        <v>0.5</v>
      </c>
      <c r="O33" s="36">
        <f aca="true" t="shared" si="6" ref="O33:O51">ROUND(K33*L33*N33,0)</f>
        <v>113</v>
      </c>
      <c r="P33" s="36">
        <f t="shared" si="5"/>
        <v>113</v>
      </c>
      <c r="Q33" s="20"/>
      <c r="R33" s="20" t="s">
        <v>117</v>
      </c>
    </row>
    <row r="34" spans="1:18" ht="21" customHeight="1">
      <c r="A34" s="18">
        <v>32</v>
      </c>
      <c r="B34" s="19">
        <v>265</v>
      </c>
      <c r="C34" s="20" t="s">
        <v>137</v>
      </c>
      <c r="D34" s="23" t="s">
        <v>82</v>
      </c>
      <c r="E34" s="18">
        <v>1</v>
      </c>
      <c r="F34" s="20" t="s">
        <v>95</v>
      </c>
      <c r="G34" s="20" t="s">
        <v>138</v>
      </c>
      <c r="H34" s="18">
        <v>800</v>
      </c>
      <c r="I34" s="18">
        <v>5000</v>
      </c>
      <c r="J34" s="18">
        <v>2500</v>
      </c>
      <c r="K34" s="36">
        <f>ROUND((1360+1390+1365)/3,0)</f>
        <v>1372</v>
      </c>
      <c r="L34" s="35">
        <v>1</v>
      </c>
      <c r="M34" s="36">
        <f t="shared" si="4"/>
        <v>1372</v>
      </c>
      <c r="N34" s="35">
        <v>0.5</v>
      </c>
      <c r="O34" s="36">
        <f t="shared" si="6"/>
        <v>686</v>
      </c>
      <c r="P34" s="36">
        <f t="shared" si="5"/>
        <v>686</v>
      </c>
      <c r="Q34" s="20"/>
      <c r="R34" s="20" t="s">
        <v>117</v>
      </c>
    </row>
    <row r="35" spans="1:18" ht="21" customHeight="1">
      <c r="A35" s="18">
        <v>33</v>
      </c>
      <c r="B35" s="19">
        <v>269</v>
      </c>
      <c r="C35" s="20" t="s">
        <v>139</v>
      </c>
      <c r="D35" s="23" t="s">
        <v>82</v>
      </c>
      <c r="E35" s="18">
        <v>1</v>
      </c>
      <c r="F35" s="20" t="s">
        <v>95</v>
      </c>
      <c r="G35" s="20" t="s">
        <v>140</v>
      </c>
      <c r="H35" s="18">
        <v>1000</v>
      </c>
      <c r="I35" s="18">
        <v>1000</v>
      </c>
      <c r="J35" s="18"/>
      <c r="K35" s="36">
        <f>ROUND((810+820+850)/3,0)</f>
        <v>827</v>
      </c>
      <c r="L35" s="35">
        <v>1</v>
      </c>
      <c r="M35" s="36">
        <f t="shared" si="4"/>
        <v>827</v>
      </c>
      <c r="N35" s="35">
        <v>0.5</v>
      </c>
      <c r="O35" s="36">
        <f t="shared" si="6"/>
        <v>414</v>
      </c>
      <c r="P35" s="36">
        <f t="shared" si="5"/>
        <v>414</v>
      </c>
      <c r="Q35" s="117"/>
      <c r="R35" s="20" t="s">
        <v>141</v>
      </c>
    </row>
    <row r="36" spans="1:18" ht="21" customHeight="1">
      <c r="A36" s="18">
        <v>34</v>
      </c>
      <c r="B36" s="19">
        <v>271</v>
      </c>
      <c r="C36" s="20" t="s">
        <v>142</v>
      </c>
      <c r="D36" s="23" t="s">
        <v>55</v>
      </c>
      <c r="E36" s="18">
        <v>1</v>
      </c>
      <c r="F36" s="20" t="s">
        <v>143</v>
      </c>
      <c r="G36" s="20" t="s">
        <v>144</v>
      </c>
      <c r="H36" s="18">
        <v>500</v>
      </c>
      <c r="I36" s="18">
        <v>3000</v>
      </c>
      <c r="J36" s="18">
        <v>7800</v>
      </c>
      <c r="K36" s="36">
        <f>ROUND((2388+2580+2660)/3*3,0)</f>
        <v>7628</v>
      </c>
      <c r="L36" s="35">
        <v>1</v>
      </c>
      <c r="M36" s="36">
        <f t="shared" si="4"/>
        <v>7628</v>
      </c>
      <c r="N36" s="35">
        <v>0.5</v>
      </c>
      <c r="O36" s="36">
        <f t="shared" si="6"/>
        <v>3814</v>
      </c>
      <c r="P36" s="36">
        <f t="shared" si="5"/>
        <v>3814</v>
      </c>
      <c r="Q36" s="20" t="s">
        <v>145</v>
      </c>
      <c r="R36" s="20" t="s">
        <v>141</v>
      </c>
    </row>
    <row r="37" spans="1:18" ht="21" customHeight="1">
      <c r="A37" s="18">
        <v>35</v>
      </c>
      <c r="B37" s="19">
        <v>272</v>
      </c>
      <c r="C37" s="20" t="s">
        <v>91</v>
      </c>
      <c r="D37" s="23" t="s">
        <v>79</v>
      </c>
      <c r="E37" s="18">
        <v>1</v>
      </c>
      <c r="F37" s="20" t="s">
        <v>146</v>
      </c>
      <c r="G37" s="20" t="s">
        <v>147</v>
      </c>
      <c r="H37" s="18">
        <v>1000</v>
      </c>
      <c r="I37" s="18">
        <v>1000</v>
      </c>
      <c r="J37" s="18">
        <v>13000</v>
      </c>
      <c r="K37" s="36">
        <f>K14</f>
        <v>13767</v>
      </c>
      <c r="L37" s="35">
        <v>1</v>
      </c>
      <c r="M37" s="36">
        <f t="shared" si="4"/>
        <v>13767</v>
      </c>
      <c r="N37" s="35">
        <v>0.6</v>
      </c>
      <c r="O37" s="36">
        <f t="shared" si="6"/>
        <v>8260</v>
      </c>
      <c r="P37" s="36">
        <f t="shared" si="5"/>
        <v>8260</v>
      </c>
      <c r="Q37" s="20"/>
      <c r="R37" s="20" t="s">
        <v>141</v>
      </c>
    </row>
    <row r="38" spans="1:18" ht="21" customHeight="1">
      <c r="A38" s="18">
        <v>36</v>
      </c>
      <c r="B38" s="19">
        <v>280</v>
      </c>
      <c r="C38" s="20" t="s">
        <v>148</v>
      </c>
      <c r="D38" s="23" t="s">
        <v>55</v>
      </c>
      <c r="E38" s="18">
        <v>1</v>
      </c>
      <c r="F38" s="20" t="s">
        <v>143</v>
      </c>
      <c r="G38" s="20"/>
      <c r="H38" s="18">
        <v>1000</v>
      </c>
      <c r="I38" s="18"/>
      <c r="J38" s="18">
        <v>6000</v>
      </c>
      <c r="K38" s="36">
        <f>ROUND((2388+2580+2660)/3*2,0)</f>
        <v>5085</v>
      </c>
      <c r="L38" s="35">
        <v>1</v>
      </c>
      <c r="M38" s="36">
        <f t="shared" si="4"/>
        <v>5085</v>
      </c>
      <c r="N38" s="35">
        <v>0.6</v>
      </c>
      <c r="O38" s="36">
        <f t="shared" si="6"/>
        <v>3051</v>
      </c>
      <c r="P38" s="36">
        <f t="shared" si="5"/>
        <v>3051</v>
      </c>
      <c r="Q38" s="20" t="s">
        <v>149</v>
      </c>
      <c r="R38" s="20" t="s">
        <v>141</v>
      </c>
    </row>
    <row r="39" spans="1:18" ht="21" customHeight="1">
      <c r="A39" s="18">
        <v>37</v>
      </c>
      <c r="B39" s="19">
        <v>281</v>
      </c>
      <c r="C39" s="20" t="s">
        <v>150</v>
      </c>
      <c r="D39" s="23" t="s">
        <v>55</v>
      </c>
      <c r="E39" s="18">
        <v>1</v>
      </c>
      <c r="F39" s="20" t="s">
        <v>146</v>
      </c>
      <c r="G39" s="20"/>
      <c r="H39" s="18">
        <v>2500</v>
      </c>
      <c r="I39" s="18"/>
      <c r="J39" s="18">
        <v>8000</v>
      </c>
      <c r="K39" s="36">
        <f>K22</f>
        <v>710</v>
      </c>
      <c r="L39" s="35">
        <v>1</v>
      </c>
      <c r="M39" s="36">
        <f t="shared" si="4"/>
        <v>710</v>
      </c>
      <c r="N39" s="35">
        <v>0.6</v>
      </c>
      <c r="O39" s="36">
        <f t="shared" si="6"/>
        <v>426</v>
      </c>
      <c r="P39" s="36">
        <f t="shared" si="5"/>
        <v>426</v>
      </c>
      <c r="Q39" s="118"/>
      <c r="R39" s="20" t="s">
        <v>141</v>
      </c>
    </row>
    <row r="40" spans="1:18" ht="21" customHeight="1">
      <c r="A40" s="18">
        <v>38</v>
      </c>
      <c r="B40" s="19">
        <v>294</v>
      </c>
      <c r="C40" s="20" t="s">
        <v>91</v>
      </c>
      <c r="D40" s="23" t="s">
        <v>79</v>
      </c>
      <c r="E40" s="18">
        <v>1</v>
      </c>
      <c r="F40" s="20" t="s">
        <v>146</v>
      </c>
      <c r="G40" s="20" t="s">
        <v>147</v>
      </c>
      <c r="H40" s="18">
        <v>2500</v>
      </c>
      <c r="I40" s="18">
        <v>1000</v>
      </c>
      <c r="J40" s="18">
        <v>13000</v>
      </c>
      <c r="K40" s="36">
        <f>K37</f>
        <v>13767</v>
      </c>
      <c r="L40" s="35">
        <v>1</v>
      </c>
      <c r="M40" s="36">
        <f t="shared" si="4"/>
        <v>13767</v>
      </c>
      <c r="N40" s="35">
        <v>0.6</v>
      </c>
      <c r="O40" s="36">
        <f t="shared" si="6"/>
        <v>8260</v>
      </c>
      <c r="P40" s="36">
        <f t="shared" si="5"/>
        <v>8260</v>
      </c>
      <c r="Q40" s="20"/>
      <c r="R40" s="20" t="s">
        <v>141</v>
      </c>
    </row>
    <row r="41" spans="1:18" ht="24.75" customHeight="1">
      <c r="A41" s="18">
        <v>39</v>
      </c>
      <c r="B41" s="19">
        <v>297</v>
      </c>
      <c r="C41" s="20" t="s">
        <v>151</v>
      </c>
      <c r="D41" s="23" t="s">
        <v>55</v>
      </c>
      <c r="E41" s="18">
        <v>1</v>
      </c>
      <c r="F41" s="20" t="s">
        <v>152</v>
      </c>
      <c r="G41" s="66" t="s">
        <v>153</v>
      </c>
      <c r="H41" s="18">
        <v>3500</v>
      </c>
      <c r="I41" s="18"/>
      <c r="J41" s="18">
        <v>12000</v>
      </c>
      <c r="K41" s="36">
        <f>ROUND((9200+9500+8880)/3,0)</f>
        <v>9193</v>
      </c>
      <c r="L41" s="35">
        <v>0.3</v>
      </c>
      <c r="M41" s="36">
        <f t="shared" si="4"/>
        <v>2758</v>
      </c>
      <c r="N41" s="35">
        <v>0.5</v>
      </c>
      <c r="O41" s="36">
        <f t="shared" si="6"/>
        <v>1379</v>
      </c>
      <c r="P41" s="36">
        <f t="shared" si="5"/>
        <v>1379</v>
      </c>
      <c r="Q41" s="20" t="s">
        <v>154</v>
      </c>
      <c r="R41" s="20" t="s">
        <v>155</v>
      </c>
    </row>
    <row r="42" spans="1:18" ht="21" customHeight="1">
      <c r="A42" s="18">
        <v>40</v>
      </c>
      <c r="B42" s="19">
        <v>299</v>
      </c>
      <c r="C42" s="20" t="s">
        <v>156</v>
      </c>
      <c r="D42" s="23" t="s">
        <v>55</v>
      </c>
      <c r="E42" s="18">
        <v>1</v>
      </c>
      <c r="F42" s="20" t="s">
        <v>152</v>
      </c>
      <c r="G42" s="20" t="s">
        <v>157</v>
      </c>
      <c r="H42" s="18">
        <v>2000</v>
      </c>
      <c r="I42" s="18"/>
      <c r="J42" s="18">
        <v>26000</v>
      </c>
      <c r="K42" s="36">
        <f>ROUND((6860+6669+6200)/3,0)</f>
        <v>6576</v>
      </c>
      <c r="L42" s="35">
        <v>0.3</v>
      </c>
      <c r="M42" s="36">
        <f t="shared" si="4"/>
        <v>1973</v>
      </c>
      <c r="N42" s="35">
        <v>0.5</v>
      </c>
      <c r="O42" s="36">
        <f t="shared" si="6"/>
        <v>986</v>
      </c>
      <c r="P42" s="36">
        <f t="shared" si="5"/>
        <v>986</v>
      </c>
      <c r="Q42" s="20" t="s">
        <v>158</v>
      </c>
      <c r="R42" s="20" t="s">
        <v>155</v>
      </c>
    </row>
    <row r="43" spans="1:18" ht="21" customHeight="1">
      <c r="A43" s="18">
        <v>41</v>
      </c>
      <c r="B43" s="19">
        <v>303</v>
      </c>
      <c r="C43" s="20" t="s">
        <v>159</v>
      </c>
      <c r="D43" s="23" t="s">
        <v>82</v>
      </c>
      <c r="E43" s="18">
        <v>1</v>
      </c>
      <c r="F43" s="20" t="s">
        <v>95</v>
      </c>
      <c r="G43" s="20"/>
      <c r="H43" s="18">
        <v>800</v>
      </c>
      <c r="I43" s="18">
        <v>4500</v>
      </c>
      <c r="J43" s="18">
        <v>4500</v>
      </c>
      <c r="K43" s="36">
        <f>ROUND((2299+2299+2180)/3,0)</f>
        <v>2259</v>
      </c>
      <c r="L43" s="35">
        <v>0.3</v>
      </c>
      <c r="M43" s="36">
        <f t="shared" si="4"/>
        <v>678</v>
      </c>
      <c r="N43" s="35">
        <v>0.5</v>
      </c>
      <c r="O43" s="36">
        <f t="shared" si="6"/>
        <v>339</v>
      </c>
      <c r="P43" s="36">
        <f t="shared" si="5"/>
        <v>339</v>
      </c>
      <c r="Q43" s="20"/>
      <c r="R43" s="20" t="s">
        <v>155</v>
      </c>
    </row>
    <row r="44" spans="1:18" ht="21" customHeight="1">
      <c r="A44" s="18">
        <v>42</v>
      </c>
      <c r="B44" s="19">
        <v>304</v>
      </c>
      <c r="C44" s="20" t="s">
        <v>160</v>
      </c>
      <c r="D44" s="23" t="s">
        <v>55</v>
      </c>
      <c r="E44" s="18">
        <v>1</v>
      </c>
      <c r="F44" s="20" t="s">
        <v>152</v>
      </c>
      <c r="G44" s="20"/>
      <c r="H44" s="18">
        <v>1000</v>
      </c>
      <c r="I44" s="18"/>
      <c r="J44" s="18">
        <v>10000</v>
      </c>
      <c r="K44" s="36">
        <f>K41</f>
        <v>9193</v>
      </c>
      <c r="L44" s="35">
        <v>0.3</v>
      </c>
      <c r="M44" s="36">
        <f t="shared" si="4"/>
        <v>2758</v>
      </c>
      <c r="N44" s="35">
        <v>0.5</v>
      </c>
      <c r="O44" s="36">
        <f t="shared" si="6"/>
        <v>1379</v>
      </c>
      <c r="P44" s="36">
        <f t="shared" si="5"/>
        <v>1379</v>
      </c>
      <c r="Q44" s="20" t="s">
        <v>161</v>
      </c>
      <c r="R44" s="20" t="s">
        <v>155</v>
      </c>
    </row>
    <row r="45" spans="1:18" ht="21" customHeight="1">
      <c r="A45" s="18">
        <v>43</v>
      </c>
      <c r="B45" s="19">
        <v>305</v>
      </c>
      <c r="C45" s="20" t="s">
        <v>162</v>
      </c>
      <c r="D45" s="23" t="s">
        <v>55</v>
      </c>
      <c r="E45" s="18">
        <v>1</v>
      </c>
      <c r="F45" s="20" t="s">
        <v>152</v>
      </c>
      <c r="G45" s="20"/>
      <c r="H45" s="18">
        <v>2500</v>
      </c>
      <c r="I45" s="18"/>
      <c r="J45" s="18">
        <v>26000</v>
      </c>
      <c r="K45" s="36">
        <f>ROUND((4260+4050+4180)/3,0)</f>
        <v>4163</v>
      </c>
      <c r="L45" s="35">
        <v>0.3</v>
      </c>
      <c r="M45" s="36">
        <f t="shared" si="4"/>
        <v>1249</v>
      </c>
      <c r="N45" s="35">
        <v>0.5</v>
      </c>
      <c r="O45" s="36">
        <f t="shared" si="6"/>
        <v>624</v>
      </c>
      <c r="P45" s="36">
        <f t="shared" si="5"/>
        <v>624</v>
      </c>
      <c r="Q45" s="20" t="s">
        <v>161</v>
      </c>
      <c r="R45" s="20" t="s">
        <v>155</v>
      </c>
    </row>
    <row r="46" spans="1:18" ht="21" customHeight="1">
      <c r="A46" s="18">
        <v>44</v>
      </c>
      <c r="B46" s="19">
        <v>306</v>
      </c>
      <c r="C46" s="20" t="s">
        <v>131</v>
      </c>
      <c r="D46" s="23" t="s">
        <v>163</v>
      </c>
      <c r="E46" s="18">
        <v>2</v>
      </c>
      <c r="F46" s="20" t="s">
        <v>152</v>
      </c>
      <c r="G46" s="20"/>
      <c r="H46" s="18">
        <v>1500</v>
      </c>
      <c r="I46" s="18">
        <f>1178*2</f>
        <v>2356</v>
      </c>
      <c r="J46" s="18">
        <f>1600*2</f>
        <v>3200</v>
      </c>
      <c r="K46" s="36">
        <f>K30</f>
        <v>851</v>
      </c>
      <c r="L46" s="35">
        <v>0.3</v>
      </c>
      <c r="M46" s="36">
        <f t="shared" si="4"/>
        <v>511</v>
      </c>
      <c r="N46" s="35">
        <v>0.5</v>
      </c>
      <c r="O46" s="36">
        <f t="shared" si="6"/>
        <v>128</v>
      </c>
      <c r="P46" s="36">
        <f t="shared" si="5"/>
        <v>256</v>
      </c>
      <c r="Q46" s="20"/>
      <c r="R46" s="20" t="s">
        <v>155</v>
      </c>
    </row>
    <row r="47" spans="1:18" ht="27" customHeight="1">
      <c r="A47" s="18">
        <v>45</v>
      </c>
      <c r="B47" s="19">
        <v>307</v>
      </c>
      <c r="C47" s="20" t="s">
        <v>162</v>
      </c>
      <c r="D47" s="23" t="s">
        <v>55</v>
      </c>
      <c r="E47" s="18">
        <v>1</v>
      </c>
      <c r="F47" s="20" t="s">
        <v>152</v>
      </c>
      <c r="G47" s="66" t="s">
        <v>164</v>
      </c>
      <c r="H47" s="18">
        <v>2500</v>
      </c>
      <c r="I47" s="18"/>
      <c r="J47" s="18">
        <v>26000</v>
      </c>
      <c r="K47" s="36">
        <f>K42</f>
        <v>6576</v>
      </c>
      <c r="L47" s="35">
        <v>0.3</v>
      </c>
      <c r="M47" s="36">
        <f t="shared" si="4"/>
        <v>1973</v>
      </c>
      <c r="N47" s="35">
        <v>0.5</v>
      </c>
      <c r="O47" s="36">
        <f t="shared" si="6"/>
        <v>986</v>
      </c>
      <c r="P47" s="36">
        <f t="shared" si="5"/>
        <v>986</v>
      </c>
      <c r="Q47" s="20" t="s">
        <v>161</v>
      </c>
      <c r="R47" s="20" t="s">
        <v>155</v>
      </c>
    </row>
    <row r="48" spans="1:18" ht="21" customHeight="1">
      <c r="A48" s="18">
        <v>46</v>
      </c>
      <c r="B48" s="19">
        <v>318</v>
      </c>
      <c r="C48" s="20" t="s">
        <v>165</v>
      </c>
      <c r="D48" s="23" t="s">
        <v>55</v>
      </c>
      <c r="E48" s="18">
        <v>1</v>
      </c>
      <c r="F48" s="20" t="s">
        <v>102</v>
      </c>
      <c r="G48" s="20" t="s">
        <v>166</v>
      </c>
      <c r="H48" s="18">
        <v>2500</v>
      </c>
      <c r="I48" s="18"/>
      <c r="J48" s="18">
        <v>2000</v>
      </c>
      <c r="K48" s="36">
        <f>K18</f>
        <v>3747</v>
      </c>
      <c r="L48" s="35">
        <v>1</v>
      </c>
      <c r="M48" s="36">
        <f t="shared" si="4"/>
        <v>3747</v>
      </c>
      <c r="N48" s="35">
        <v>0.6</v>
      </c>
      <c r="O48" s="36">
        <f t="shared" si="6"/>
        <v>2248</v>
      </c>
      <c r="P48" s="36">
        <f t="shared" si="5"/>
        <v>2248</v>
      </c>
      <c r="Q48" s="20" t="s">
        <v>167</v>
      </c>
      <c r="R48" s="20" t="s">
        <v>168</v>
      </c>
    </row>
    <row r="49" spans="1:18" ht="21" customHeight="1">
      <c r="A49" s="18">
        <v>47</v>
      </c>
      <c r="B49" s="19">
        <v>320</v>
      </c>
      <c r="C49" s="20" t="s">
        <v>97</v>
      </c>
      <c r="D49" s="23" t="s">
        <v>55</v>
      </c>
      <c r="E49" s="18">
        <v>1</v>
      </c>
      <c r="F49" s="20" t="s">
        <v>95</v>
      </c>
      <c r="G49" s="20" t="s">
        <v>169</v>
      </c>
      <c r="H49" s="18">
        <v>2500</v>
      </c>
      <c r="I49" s="18"/>
      <c r="J49" s="18"/>
      <c r="K49" s="36">
        <f>K34</f>
        <v>1372</v>
      </c>
      <c r="L49" s="35">
        <v>0.3</v>
      </c>
      <c r="M49" s="36">
        <f t="shared" si="4"/>
        <v>412</v>
      </c>
      <c r="N49" s="35">
        <v>0.5</v>
      </c>
      <c r="O49" s="36">
        <f t="shared" si="6"/>
        <v>206</v>
      </c>
      <c r="P49" s="36">
        <f t="shared" si="5"/>
        <v>206</v>
      </c>
      <c r="Q49" s="20" t="s">
        <v>170</v>
      </c>
      <c r="R49" s="20" t="s">
        <v>171</v>
      </c>
    </row>
    <row r="50" spans="1:18" ht="21" customHeight="1">
      <c r="A50" s="18">
        <v>48</v>
      </c>
      <c r="B50" s="19">
        <v>322</v>
      </c>
      <c r="C50" s="20" t="s">
        <v>172</v>
      </c>
      <c r="D50" s="23" t="s">
        <v>82</v>
      </c>
      <c r="E50" s="18">
        <v>1</v>
      </c>
      <c r="F50" s="20" t="s">
        <v>152</v>
      </c>
      <c r="G50" s="20"/>
      <c r="H50" s="18">
        <v>800</v>
      </c>
      <c r="I50" s="18">
        <v>296</v>
      </c>
      <c r="J50" s="18"/>
      <c r="K50" s="36">
        <f>K30</f>
        <v>851</v>
      </c>
      <c r="L50" s="35">
        <v>0.3</v>
      </c>
      <c r="M50" s="36">
        <f t="shared" si="4"/>
        <v>255</v>
      </c>
      <c r="N50" s="35">
        <v>0.5</v>
      </c>
      <c r="O50" s="36">
        <f t="shared" si="6"/>
        <v>128</v>
      </c>
      <c r="P50" s="36">
        <f t="shared" si="5"/>
        <v>128</v>
      </c>
      <c r="Q50" s="20"/>
      <c r="R50" s="20" t="s">
        <v>171</v>
      </c>
    </row>
    <row r="51" spans="1:18" ht="21" customHeight="1">
      <c r="A51" s="18">
        <v>49</v>
      </c>
      <c r="B51" s="19">
        <v>369</v>
      </c>
      <c r="C51" s="20" t="s">
        <v>173</v>
      </c>
      <c r="D51" s="23" t="s">
        <v>55</v>
      </c>
      <c r="E51" s="18">
        <v>1</v>
      </c>
      <c r="F51" s="23" t="s">
        <v>75</v>
      </c>
      <c r="G51" s="23"/>
      <c r="H51" s="18"/>
      <c r="I51" s="18"/>
      <c r="J51" s="18">
        <v>1000</v>
      </c>
      <c r="K51" s="36">
        <f>ROUND((600+650+650)/3*2,0)</f>
        <v>1267</v>
      </c>
      <c r="L51" s="35">
        <v>1</v>
      </c>
      <c r="M51" s="36">
        <f t="shared" si="4"/>
        <v>1267</v>
      </c>
      <c r="N51" s="35">
        <v>0.6</v>
      </c>
      <c r="O51" s="36">
        <f t="shared" si="6"/>
        <v>760</v>
      </c>
      <c r="P51" s="36">
        <f t="shared" si="5"/>
        <v>760</v>
      </c>
      <c r="Q51" s="20" t="s">
        <v>174</v>
      </c>
      <c r="R51" s="20" t="s">
        <v>141</v>
      </c>
    </row>
    <row r="52" spans="1:18" ht="21" customHeight="1">
      <c r="A52" s="99" t="s">
        <v>47</v>
      </c>
      <c r="B52" s="99"/>
      <c r="C52" s="99"/>
      <c r="D52" s="100"/>
      <c r="E52" s="99">
        <f>SUM(E3:E51)</f>
        <v>61</v>
      </c>
      <c r="F52" s="100"/>
      <c r="G52" s="100"/>
      <c r="H52" s="100"/>
      <c r="I52" s="100"/>
      <c r="J52" s="100"/>
      <c r="K52" s="114"/>
      <c r="L52" s="100"/>
      <c r="M52" s="115">
        <f>SUM(M3:M51)</f>
        <v>266448</v>
      </c>
      <c r="N52" s="116"/>
      <c r="O52" s="116"/>
      <c r="P52" s="114">
        <f>SUM(P3:P51)</f>
        <v>155146</v>
      </c>
      <c r="Q52" s="100"/>
      <c r="R52" s="100"/>
    </row>
  </sheetData>
  <sheetProtection/>
  <mergeCells count="24">
    <mergeCell ref="I1:J1"/>
    <mergeCell ref="K1:M1"/>
    <mergeCell ref="O1:P1"/>
    <mergeCell ref="A52:C52"/>
    <mergeCell ref="A1:A2"/>
    <mergeCell ref="B1:B2"/>
    <mergeCell ref="C1:C2"/>
    <mergeCell ref="D1:D2"/>
    <mergeCell ref="E1:E2"/>
    <mergeCell ref="F1:F2"/>
    <mergeCell ref="F28:F29"/>
    <mergeCell ref="G1:G2"/>
    <mergeCell ref="H1:H2"/>
    <mergeCell ref="I28:I29"/>
    <mergeCell ref="J28:J29"/>
    <mergeCell ref="K28:K29"/>
    <mergeCell ref="L28:L29"/>
    <mergeCell ref="M28:M29"/>
    <mergeCell ref="N1:N2"/>
    <mergeCell ref="N28:N29"/>
    <mergeCell ref="O28:O29"/>
    <mergeCell ref="P28:P29"/>
    <mergeCell ref="Q1:Q2"/>
    <mergeCell ref="R1:R2"/>
  </mergeCells>
  <printOptions/>
  <pageMargins left="0.4326388888888889" right="0.3145833333333333" top="0.4722222222222222" bottom="0.4722222222222222" header="0.5118055555555555" footer="0.5118055555555555"/>
  <pageSetup horizontalDpi="600" verticalDpi="600" orientation="landscape" paperSize="9"/>
  <headerFooter scaleWithDoc="0" alignWithMargins="0">
    <oddHeader>&amp;R&amp;10第&amp;P页共&amp;N页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I29" sqref="I29"/>
    </sheetView>
  </sheetViews>
  <sheetFormatPr defaultColWidth="9.00390625" defaultRowHeight="14.25"/>
  <cols>
    <col min="1" max="1" width="4.75390625" style="56" customWidth="1"/>
    <col min="2" max="2" width="4.875" style="56" customWidth="1"/>
    <col min="3" max="3" width="11.125" style="4" customWidth="1"/>
    <col min="4" max="4" width="5.25390625" style="56" customWidth="1"/>
    <col min="5" max="5" width="3.625" style="56" customWidth="1"/>
    <col min="6" max="6" width="10.625" style="56" hidden="1" customWidth="1"/>
    <col min="7" max="7" width="17.00390625" style="56" customWidth="1"/>
    <col min="8" max="8" width="10.625" style="56" hidden="1" customWidth="1"/>
    <col min="9" max="9" width="11.625" style="56" customWidth="1"/>
    <col min="10" max="10" width="8.25390625" style="56" customWidth="1"/>
    <col min="11" max="11" width="11.375" style="56" customWidth="1"/>
    <col min="12" max="12" width="7.75390625" style="56" customWidth="1"/>
    <col min="13" max="13" width="10.625" style="56" customWidth="1"/>
    <col min="14" max="14" width="10.50390625" style="56" customWidth="1"/>
    <col min="15" max="15" width="18.625" style="56" customWidth="1"/>
  </cols>
  <sheetData>
    <row r="1" spans="1:15" s="54" customFormat="1" ht="21" customHeight="1">
      <c r="A1" s="57" t="s">
        <v>0</v>
      </c>
      <c r="B1" s="58" t="s">
        <v>1</v>
      </c>
      <c r="C1" s="59" t="s">
        <v>2</v>
      </c>
      <c r="D1" s="60" t="s">
        <v>3</v>
      </c>
      <c r="E1" s="57" t="s">
        <v>4</v>
      </c>
      <c r="F1" s="61" t="s">
        <v>48</v>
      </c>
      <c r="G1" s="57" t="s">
        <v>5</v>
      </c>
      <c r="H1" s="57" t="s">
        <v>6</v>
      </c>
      <c r="I1" s="57" t="s">
        <v>7</v>
      </c>
      <c r="J1" s="57"/>
      <c r="K1" s="57"/>
      <c r="L1" s="75" t="s">
        <v>9</v>
      </c>
      <c r="M1" s="76"/>
      <c r="N1" s="57" t="s">
        <v>10</v>
      </c>
      <c r="O1" s="61" t="s">
        <v>11</v>
      </c>
    </row>
    <row r="2" spans="1:15" s="54" customFormat="1" ht="21" customHeight="1">
      <c r="A2" s="57"/>
      <c r="B2" s="62"/>
      <c r="C2" s="63"/>
      <c r="D2" s="64"/>
      <c r="E2" s="57"/>
      <c r="F2" s="65"/>
      <c r="G2" s="57"/>
      <c r="H2" s="57"/>
      <c r="I2" s="57" t="s">
        <v>175</v>
      </c>
      <c r="J2" s="57" t="s">
        <v>53</v>
      </c>
      <c r="K2" s="57" t="s">
        <v>13</v>
      </c>
      <c r="L2" s="59" t="s">
        <v>8</v>
      </c>
      <c r="M2" s="77" t="s">
        <v>13</v>
      </c>
      <c r="N2" s="57"/>
      <c r="O2" s="65"/>
    </row>
    <row r="3" spans="1:15" s="55" customFormat="1" ht="18" customHeight="1">
      <c r="A3" s="18">
        <v>1</v>
      </c>
      <c r="B3" s="19">
        <v>1</v>
      </c>
      <c r="C3" s="20" t="s">
        <v>176</v>
      </c>
      <c r="D3" s="23" t="s">
        <v>177</v>
      </c>
      <c r="E3" s="21">
        <v>1</v>
      </c>
      <c r="F3" s="18"/>
      <c r="G3" s="20" t="s">
        <v>178</v>
      </c>
      <c r="H3" s="18">
        <v>500</v>
      </c>
      <c r="I3" s="78">
        <f>ROUND((1246+1299+1199)/3,0)</f>
        <v>1248</v>
      </c>
      <c r="J3" s="35">
        <v>0.5</v>
      </c>
      <c r="K3" s="36">
        <f>ROUND(I3*J3,0)</f>
        <v>624</v>
      </c>
      <c r="L3" s="35">
        <v>0.3</v>
      </c>
      <c r="M3" s="36">
        <f>ROUND(K3*L3,0)</f>
        <v>187</v>
      </c>
      <c r="N3" s="23" t="s">
        <v>179</v>
      </c>
      <c r="O3" s="20" t="s">
        <v>59</v>
      </c>
    </row>
    <row r="4" spans="1:15" s="55" customFormat="1" ht="18" customHeight="1">
      <c r="A4" s="18">
        <v>2</v>
      </c>
      <c r="B4" s="19">
        <v>19</v>
      </c>
      <c r="C4" s="20" t="s">
        <v>180</v>
      </c>
      <c r="D4" s="23" t="s">
        <v>177</v>
      </c>
      <c r="E4" s="18">
        <v>1</v>
      </c>
      <c r="F4" s="18"/>
      <c r="G4" s="20" t="s">
        <v>181</v>
      </c>
      <c r="H4" s="18">
        <v>200</v>
      </c>
      <c r="I4" s="78">
        <f>ROUND((595+598+598)/3,0)</f>
        <v>597</v>
      </c>
      <c r="J4" s="35">
        <v>0.5</v>
      </c>
      <c r="K4" s="36">
        <f aca="true" t="shared" si="0" ref="K4:K9">ROUND(I4*J4,0)</f>
        <v>299</v>
      </c>
      <c r="L4" s="35">
        <v>0.3</v>
      </c>
      <c r="M4" s="36">
        <f aca="true" t="shared" si="1" ref="M4:M9">ROUND(K4*L4,0)</f>
        <v>90</v>
      </c>
      <c r="N4" s="23" t="s">
        <v>182</v>
      </c>
      <c r="O4" s="20" t="s">
        <v>59</v>
      </c>
    </row>
    <row r="5" spans="1:15" s="55" customFormat="1" ht="18" customHeight="1">
      <c r="A5" s="18">
        <v>3</v>
      </c>
      <c r="B5" s="19">
        <v>182</v>
      </c>
      <c r="C5" s="20" t="s">
        <v>180</v>
      </c>
      <c r="D5" s="23" t="s">
        <v>79</v>
      </c>
      <c r="E5" s="18">
        <v>1</v>
      </c>
      <c r="F5" s="18"/>
      <c r="G5" s="20"/>
      <c r="H5" s="18">
        <v>300</v>
      </c>
      <c r="I5" s="78">
        <f>ROUND((595+598+598)/3,0)</f>
        <v>597</v>
      </c>
      <c r="J5" s="35">
        <v>0.5</v>
      </c>
      <c r="K5" s="36">
        <f t="shared" si="0"/>
        <v>299</v>
      </c>
      <c r="L5" s="35">
        <v>0.3</v>
      </c>
      <c r="M5" s="36">
        <f t="shared" si="1"/>
        <v>90</v>
      </c>
      <c r="N5" s="23" t="s">
        <v>112</v>
      </c>
      <c r="O5" s="20" t="s">
        <v>110</v>
      </c>
    </row>
    <row r="6" spans="1:15" s="55" customFormat="1" ht="18" customHeight="1">
      <c r="A6" s="18">
        <v>4</v>
      </c>
      <c r="B6" s="19">
        <v>244</v>
      </c>
      <c r="C6" s="20" t="s">
        <v>183</v>
      </c>
      <c r="D6" s="23" t="s">
        <v>177</v>
      </c>
      <c r="E6" s="18">
        <v>1</v>
      </c>
      <c r="F6" s="18"/>
      <c r="G6" s="20"/>
      <c r="H6" s="18">
        <v>500</v>
      </c>
      <c r="I6" s="78">
        <f>ROUND((1548+1499+1530)/3,0)</f>
        <v>1526</v>
      </c>
      <c r="J6" s="35">
        <v>0.5</v>
      </c>
      <c r="K6" s="36">
        <f t="shared" si="0"/>
        <v>763</v>
      </c>
      <c r="L6" s="35">
        <v>0.3</v>
      </c>
      <c r="M6" s="36">
        <f t="shared" si="1"/>
        <v>229</v>
      </c>
      <c r="N6" s="23"/>
      <c r="O6" s="20" t="s">
        <v>117</v>
      </c>
    </row>
    <row r="7" spans="1:15" s="55" customFormat="1" ht="18" customHeight="1">
      <c r="A7" s="18">
        <v>5</v>
      </c>
      <c r="B7" s="19">
        <v>255</v>
      </c>
      <c r="C7" s="20" t="s">
        <v>184</v>
      </c>
      <c r="D7" s="23" t="s">
        <v>177</v>
      </c>
      <c r="E7" s="18">
        <v>1</v>
      </c>
      <c r="F7" s="18"/>
      <c r="G7" s="20"/>
      <c r="H7" s="18">
        <v>300</v>
      </c>
      <c r="I7" s="78">
        <f>ROUND((1419+1499+1420)/3,0)</f>
        <v>1446</v>
      </c>
      <c r="J7" s="35">
        <v>0.5</v>
      </c>
      <c r="K7" s="36">
        <f t="shared" si="0"/>
        <v>723</v>
      </c>
      <c r="L7" s="35">
        <v>0.3</v>
      </c>
      <c r="M7" s="36">
        <f t="shared" si="1"/>
        <v>217</v>
      </c>
      <c r="N7" s="23"/>
      <c r="O7" s="20" t="s">
        <v>117</v>
      </c>
    </row>
    <row r="8" spans="1:15" s="55" customFormat="1" ht="18" customHeight="1">
      <c r="A8" s="18">
        <v>6</v>
      </c>
      <c r="B8" s="19">
        <v>258</v>
      </c>
      <c r="C8" s="20" t="s">
        <v>185</v>
      </c>
      <c r="D8" s="23" t="s">
        <v>177</v>
      </c>
      <c r="E8" s="18">
        <v>1</v>
      </c>
      <c r="F8" s="18"/>
      <c r="G8" s="20"/>
      <c r="H8" s="18">
        <v>500</v>
      </c>
      <c r="I8" s="78">
        <f>ROUND((630+699+700)/3,0)</f>
        <v>676</v>
      </c>
      <c r="J8" s="35">
        <v>0.5</v>
      </c>
      <c r="K8" s="36">
        <f t="shared" si="0"/>
        <v>338</v>
      </c>
      <c r="L8" s="35">
        <v>0.3</v>
      </c>
      <c r="M8" s="36">
        <f t="shared" si="1"/>
        <v>101</v>
      </c>
      <c r="N8" s="23"/>
      <c r="O8" s="20" t="s">
        <v>117</v>
      </c>
    </row>
    <row r="9" spans="1:15" s="55" customFormat="1" ht="24.75" customHeight="1">
      <c r="A9" s="18">
        <v>7</v>
      </c>
      <c r="B9" s="19">
        <v>266</v>
      </c>
      <c r="C9" s="66" t="s">
        <v>186</v>
      </c>
      <c r="D9" s="23" t="s">
        <v>177</v>
      </c>
      <c r="E9" s="18">
        <v>1</v>
      </c>
      <c r="F9" s="18"/>
      <c r="G9" s="67" t="s">
        <v>187</v>
      </c>
      <c r="H9" s="18">
        <v>1000</v>
      </c>
      <c r="I9" s="79">
        <f>ROUND((5500+5800+5500)/3,0)</f>
        <v>5600</v>
      </c>
      <c r="J9" s="80">
        <v>0.5</v>
      </c>
      <c r="K9" s="79">
        <f t="shared" si="0"/>
        <v>2800</v>
      </c>
      <c r="L9" s="80">
        <v>0.3</v>
      </c>
      <c r="M9" s="79">
        <f t="shared" si="1"/>
        <v>840</v>
      </c>
      <c r="N9" s="81" t="s">
        <v>188</v>
      </c>
      <c r="O9" s="20" t="s">
        <v>117</v>
      </c>
    </row>
    <row r="10" spans="1:15" s="55" customFormat="1" ht="18" customHeight="1">
      <c r="A10" s="18">
        <v>8</v>
      </c>
      <c r="B10" s="19">
        <v>311</v>
      </c>
      <c r="C10" s="20" t="s">
        <v>189</v>
      </c>
      <c r="D10" s="23" t="s">
        <v>177</v>
      </c>
      <c r="E10" s="18">
        <v>1</v>
      </c>
      <c r="F10" s="18"/>
      <c r="G10" s="68"/>
      <c r="H10" s="18">
        <v>1000</v>
      </c>
      <c r="I10" s="82"/>
      <c r="J10" s="83"/>
      <c r="K10" s="82"/>
      <c r="L10" s="83"/>
      <c r="M10" s="82"/>
      <c r="N10" s="84"/>
      <c r="O10" s="20" t="s">
        <v>190</v>
      </c>
    </row>
    <row r="11" spans="1:15" s="55" customFormat="1" ht="18" customHeight="1">
      <c r="A11" s="18">
        <v>9</v>
      </c>
      <c r="B11" s="19">
        <v>267</v>
      </c>
      <c r="C11" s="20" t="s">
        <v>191</v>
      </c>
      <c r="D11" s="23" t="s">
        <v>177</v>
      </c>
      <c r="E11" s="18">
        <v>1</v>
      </c>
      <c r="F11" s="18"/>
      <c r="G11" s="20"/>
      <c r="H11" s="18">
        <v>500</v>
      </c>
      <c r="I11" s="78">
        <f>ROUND((656+670+699)/3,0)</f>
        <v>675</v>
      </c>
      <c r="J11" s="35">
        <v>0.5</v>
      </c>
      <c r="K11" s="36">
        <f aca="true" t="shared" si="2" ref="K11:K26">ROUND(I11*J11,0)</f>
        <v>338</v>
      </c>
      <c r="L11" s="35">
        <v>0.3</v>
      </c>
      <c r="M11" s="36">
        <f aca="true" t="shared" si="3" ref="M11:M26">ROUND(K11*L11,0)</f>
        <v>101</v>
      </c>
      <c r="N11" s="23"/>
      <c r="O11" s="20" t="s">
        <v>117</v>
      </c>
    </row>
    <row r="12" spans="1:15" s="55" customFormat="1" ht="18" customHeight="1">
      <c r="A12" s="18">
        <v>10</v>
      </c>
      <c r="B12" s="19">
        <v>268</v>
      </c>
      <c r="C12" s="20" t="s">
        <v>192</v>
      </c>
      <c r="D12" s="23" t="s">
        <v>177</v>
      </c>
      <c r="E12" s="18">
        <v>1</v>
      </c>
      <c r="F12" s="18"/>
      <c r="G12" s="20" t="s">
        <v>193</v>
      </c>
      <c r="H12" s="18">
        <v>300</v>
      </c>
      <c r="I12" s="78">
        <f>ROUND((648+648+648)/3,0)</f>
        <v>648</v>
      </c>
      <c r="J12" s="35">
        <v>0.5</v>
      </c>
      <c r="K12" s="36">
        <f t="shared" si="2"/>
        <v>324</v>
      </c>
      <c r="L12" s="35">
        <v>0.3</v>
      </c>
      <c r="M12" s="36">
        <f t="shared" si="3"/>
        <v>97</v>
      </c>
      <c r="N12" s="23"/>
      <c r="O12" s="20" t="s">
        <v>117</v>
      </c>
    </row>
    <row r="13" spans="1:15" s="55" customFormat="1" ht="18" customHeight="1">
      <c r="A13" s="18">
        <v>11</v>
      </c>
      <c r="B13" s="19">
        <v>296</v>
      </c>
      <c r="C13" s="20" t="s">
        <v>194</v>
      </c>
      <c r="D13" s="23" t="s">
        <v>177</v>
      </c>
      <c r="E13" s="18">
        <v>1</v>
      </c>
      <c r="F13" s="18"/>
      <c r="G13" s="20"/>
      <c r="H13" s="18">
        <v>500</v>
      </c>
      <c r="I13" s="78">
        <f>ROUND((499+499+499)/3,0)</f>
        <v>499</v>
      </c>
      <c r="J13" s="35">
        <v>0.5</v>
      </c>
      <c r="K13" s="36">
        <f t="shared" si="2"/>
        <v>250</v>
      </c>
      <c r="L13" s="35">
        <v>0.3</v>
      </c>
      <c r="M13" s="36">
        <f t="shared" si="3"/>
        <v>75</v>
      </c>
      <c r="N13" s="23"/>
      <c r="O13" s="20" t="s">
        <v>155</v>
      </c>
    </row>
    <row r="14" spans="1:15" s="55" customFormat="1" ht="18" customHeight="1">
      <c r="A14" s="18">
        <v>12</v>
      </c>
      <c r="B14" s="19">
        <v>301</v>
      </c>
      <c r="C14" s="20" t="s">
        <v>194</v>
      </c>
      <c r="D14" s="23" t="s">
        <v>177</v>
      </c>
      <c r="E14" s="18">
        <v>1</v>
      </c>
      <c r="F14" s="18"/>
      <c r="G14" s="20" t="s">
        <v>195</v>
      </c>
      <c r="H14" s="18">
        <v>500</v>
      </c>
      <c r="I14" s="78">
        <f>ROUND((499+499+499)/3,0)</f>
        <v>499</v>
      </c>
      <c r="J14" s="35">
        <v>0.5</v>
      </c>
      <c r="K14" s="36">
        <f t="shared" si="2"/>
        <v>250</v>
      </c>
      <c r="L14" s="35">
        <v>0.3</v>
      </c>
      <c r="M14" s="36">
        <f t="shared" si="3"/>
        <v>75</v>
      </c>
      <c r="N14" s="23" t="s">
        <v>196</v>
      </c>
      <c r="O14" s="20" t="s">
        <v>155</v>
      </c>
    </row>
    <row r="15" spans="1:15" s="55" customFormat="1" ht="18" customHeight="1">
      <c r="A15" s="18">
        <v>13</v>
      </c>
      <c r="B15" s="19">
        <v>309</v>
      </c>
      <c r="C15" s="20" t="s">
        <v>194</v>
      </c>
      <c r="D15" s="23" t="s">
        <v>177</v>
      </c>
      <c r="E15" s="18">
        <v>1</v>
      </c>
      <c r="F15" s="18"/>
      <c r="G15" s="20"/>
      <c r="H15" s="18">
        <v>500</v>
      </c>
      <c r="I15" s="78">
        <f>ROUND((499+499+499)/3,0)</f>
        <v>499</v>
      </c>
      <c r="J15" s="35">
        <v>0.5</v>
      </c>
      <c r="K15" s="36">
        <f t="shared" si="2"/>
        <v>250</v>
      </c>
      <c r="L15" s="35">
        <v>0.3</v>
      </c>
      <c r="M15" s="36">
        <f t="shared" si="3"/>
        <v>75</v>
      </c>
      <c r="N15" s="23"/>
      <c r="O15" s="20" t="s">
        <v>155</v>
      </c>
    </row>
    <row r="16" spans="1:15" s="55" customFormat="1" ht="18" customHeight="1">
      <c r="A16" s="18">
        <v>14</v>
      </c>
      <c r="B16" s="19">
        <v>314</v>
      </c>
      <c r="C16" s="20" t="s">
        <v>197</v>
      </c>
      <c r="D16" s="23" t="s">
        <v>177</v>
      </c>
      <c r="E16" s="18">
        <v>1</v>
      </c>
      <c r="F16" s="18"/>
      <c r="G16" s="20"/>
      <c r="H16" s="18">
        <v>200</v>
      </c>
      <c r="I16" s="78">
        <f>ROUND((1460+1480+1693.2)/3,0)</f>
        <v>1544</v>
      </c>
      <c r="J16" s="35">
        <v>0.4</v>
      </c>
      <c r="K16" s="36">
        <f t="shared" si="2"/>
        <v>618</v>
      </c>
      <c r="L16" s="35">
        <v>0.3</v>
      </c>
      <c r="M16" s="36">
        <f t="shared" si="3"/>
        <v>185</v>
      </c>
      <c r="N16" s="23"/>
      <c r="O16" s="20" t="s">
        <v>190</v>
      </c>
    </row>
    <row r="17" spans="1:15" s="55" customFormat="1" ht="18" customHeight="1">
      <c r="A17" s="18">
        <v>15</v>
      </c>
      <c r="B17" s="19">
        <v>315</v>
      </c>
      <c r="C17" s="20" t="s">
        <v>198</v>
      </c>
      <c r="D17" s="23" t="s">
        <v>177</v>
      </c>
      <c r="E17" s="18">
        <v>1</v>
      </c>
      <c r="F17" s="18"/>
      <c r="G17" s="20" t="s">
        <v>199</v>
      </c>
      <c r="H17" s="18">
        <v>300</v>
      </c>
      <c r="I17" s="78">
        <f>ROUND((1199+1199+1299)/3,0)</f>
        <v>1232</v>
      </c>
      <c r="J17" s="35">
        <v>0.5</v>
      </c>
      <c r="K17" s="36">
        <f t="shared" si="2"/>
        <v>616</v>
      </c>
      <c r="L17" s="35">
        <v>0.3</v>
      </c>
      <c r="M17" s="36">
        <f t="shared" si="3"/>
        <v>185</v>
      </c>
      <c r="N17" s="23" t="s">
        <v>200</v>
      </c>
      <c r="O17" s="20" t="s">
        <v>190</v>
      </c>
    </row>
    <row r="18" spans="1:15" s="55" customFormat="1" ht="18" customHeight="1">
      <c r="A18" s="18">
        <v>16</v>
      </c>
      <c r="B18" s="19">
        <v>316</v>
      </c>
      <c r="C18" s="20" t="s">
        <v>198</v>
      </c>
      <c r="D18" s="23" t="s">
        <v>177</v>
      </c>
      <c r="E18" s="18">
        <v>1</v>
      </c>
      <c r="F18" s="18"/>
      <c r="G18" s="20" t="s">
        <v>201</v>
      </c>
      <c r="H18" s="18">
        <v>300</v>
      </c>
      <c r="I18" s="78">
        <f>ROUND((2600+2819+2819)/3,0)</f>
        <v>2746</v>
      </c>
      <c r="J18" s="35">
        <v>0.5</v>
      </c>
      <c r="K18" s="36">
        <f t="shared" si="2"/>
        <v>1373</v>
      </c>
      <c r="L18" s="35">
        <v>0.3</v>
      </c>
      <c r="M18" s="36">
        <f t="shared" si="3"/>
        <v>412</v>
      </c>
      <c r="N18" s="23" t="s">
        <v>202</v>
      </c>
      <c r="O18" s="20" t="s">
        <v>190</v>
      </c>
    </row>
    <row r="19" spans="1:15" s="55" customFormat="1" ht="18" customHeight="1">
      <c r="A19" s="18">
        <v>17</v>
      </c>
      <c r="B19" s="19">
        <v>323</v>
      </c>
      <c r="C19" s="20" t="s">
        <v>203</v>
      </c>
      <c r="D19" s="23" t="s">
        <v>177</v>
      </c>
      <c r="E19" s="18">
        <v>1</v>
      </c>
      <c r="F19" s="18"/>
      <c r="G19" s="20"/>
      <c r="H19" s="18">
        <v>1000</v>
      </c>
      <c r="I19" s="78">
        <f>ROUND((4099+4599+4699)/3,0)</f>
        <v>4466</v>
      </c>
      <c r="J19" s="35">
        <v>0.5</v>
      </c>
      <c r="K19" s="36">
        <f t="shared" si="2"/>
        <v>2233</v>
      </c>
      <c r="L19" s="35">
        <v>0.3</v>
      </c>
      <c r="M19" s="36">
        <f t="shared" si="3"/>
        <v>670</v>
      </c>
      <c r="N19" s="23" t="s">
        <v>204</v>
      </c>
      <c r="O19" s="20" t="s">
        <v>205</v>
      </c>
    </row>
    <row r="20" spans="1:15" s="55" customFormat="1" ht="18" customHeight="1">
      <c r="A20" s="18">
        <v>18</v>
      </c>
      <c r="B20" s="19">
        <v>324</v>
      </c>
      <c r="C20" s="20" t="s">
        <v>206</v>
      </c>
      <c r="D20" s="23" t="s">
        <v>177</v>
      </c>
      <c r="E20" s="18">
        <v>1</v>
      </c>
      <c r="F20" s="18"/>
      <c r="G20" s="20" t="s">
        <v>207</v>
      </c>
      <c r="H20" s="18">
        <v>300</v>
      </c>
      <c r="I20" s="78">
        <f>I7</f>
        <v>1446</v>
      </c>
      <c r="J20" s="35">
        <v>0.5</v>
      </c>
      <c r="K20" s="36">
        <f t="shared" si="2"/>
        <v>723</v>
      </c>
      <c r="L20" s="35">
        <v>0.3</v>
      </c>
      <c r="M20" s="36">
        <f t="shared" si="3"/>
        <v>217</v>
      </c>
      <c r="N20" s="23"/>
      <c r="O20" s="20" t="s">
        <v>205</v>
      </c>
    </row>
    <row r="21" spans="1:15" s="55" customFormat="1" ht="18" customHeight="1">
      <c r="A21" s="18">
        <v>19</v>
      </c>
      <c r="B21" s="19">
        <v>325</v>
      </c>
      <c r="C21" s="20" t="s">
        <v>208</v>
      </c>
      <c r="D21" s="23" t="s">
        <v>177</v>
      </c>
      <c r="E21" s="18">
        <v>1</v>
      </c>
      <c r="F21" s="18"/>
      <c r="G21" s="20"/>
      <c r="H21" s="18">
        <v>200</v>
      </c>
      <c r="I21" s="78">
        <f>ROUND((848+848+799)/3,0)</f>
        <v>832</v>
      </c>
      <c r="J21" s="35">
        <v>0.5</v>
      </c>
      <c r="K21" s="36">
        <f t="shared" si="2"/>
        <v>416</v>
      </c>
      <c r="L21" s="35">
        <v>0.3</v>
      </c>
      <c r="M21" s="36">
        <f t="shared" si="3"/>
        <v>125</v>
      </c>
      <c r="N21" s="23"/>
      <c r="O21" s="20" t="s">
        <v>205</v>
      </c>
    </row>
    <row r="22" spans="1:15" s="55" customFormat="1" ht="18" customHeight="1">
      <c r="A22" s="18">
        <v>20</v>
      </c>
      <c r="B22" s="19">
        <v>326</v>
      </c>
      <c r="C22" s="20" t="s">
        <v>209</v>
      </c>
      <c r="D22" s="23" t="s">
        <v>177</v>
      </c>
      <c r="E22" s="18">
        <v>1</v>
      </c>
      <c r="F22" s="18"/>
      <c r="G22" s="20"/>
      <c r="H22" s="18">
        <v>100</v>
      </c>
      <c r="I22" s="78">
        <f>ROUND((479+499+499)/3,0)</f>
        <v>492</v>
      </c>
      <c r="J22" s="35">
        <v>0.5</v>
      </c>
      <c r="K22" s="36">
        <f t="shared" si="2"/>
        <v>246</v>
      </c>
      <c r="L22" s="35">
        <v>0.3</v>
      </c>
      <c r="M22" s="36">
        <f t="shared" si="3"/>
        <v>74</v>
      </c>
      <c r="N22" s="23"/>
      <c r="O22" s="20" t="s">
        <v>205</v>
      </c>
    </row>
    <row r="23" spans="1:15" s="55" customFormat="1" ht="18" customHeight="1">
      <c r="A23" s="18">
        <v>21</v>
      </c>
      <c r="B23" s="19">
        <v>327</v>
      </c>
      <c r="C23" s="20" t="s">
        <v>210</v>
      </c>
      <c r="D23" s="23" t="s">
        <v>177</v>
      </c>
      <c r="E23" s="18">
        <v>1</v>
      </c>
      <c r="F23" s="18"/>
      <c r="G23" s="20"/>
      <c r="H23" s="18">
        <v>100</v>
      </c>
      <c r="I23" s="78">
        <f>ROUND((479+499+499)/3,0)</f>
        <v>492</v>
      </c>
      <c r="J23" s="35">
        <v>0.5</v>
      </c>
      <c r="K23" s="36">
        <f t="shared" si="2"/>
        <v>246</v>
      </c>
      <c r="L23" s="35">
        <v>0.3</v>
      </c>
      <c r="M23" s="36">
        <f t="shared" si="3"/>
        <v>74</v>
      </c>
      <c r="N23" s="23"/>
      <c r="O23" s="20" t="s">
        <v>205</v>
      </c>
    </row>
    <row r="24" spans="1:15" s="55" customFormat="1" ht="18" customHeight="1">
      <c r="A24" s="18">
        <v>22</v>
      </c>
      <c r="B24" s="19">
        <v>328</v>
      </c>
      <c r="C24" s="20" t="s">
        <v>211</v>
      </c>
      <c r="D24" s="23" t="s">
        <v>177</v>
      </c>
      <c r="E24" s="18">
        <v>1</v>
      </c>
      <c r="F24" s="18"/>
      <c r="G24" s="20"/>
      <c r="H24" s="18">
        <v>50</v>
      </c>
      <c r="I24" s="78">
        <f>ROUND((229+259+259)/3,0)</f>
        <v>249</v>
      </c>
      <c r="J24" s="35">
        <v>0.5</v>
      </c>
      <c r="K24" s="36">
        <f t="shared" si="2"/>
        <v>125</v>
      </c>
      <c r="L24" s="35">
        <v>0.3</v>
      </c>
      <c r="M24" s="36">
        <f t="shared" si="3"/>
        <v>38</v>
      </c>
      <c r="N24" s="23"/>
      <c r="O24" s="20" t="s">
        <v>205</v>
      </c>
    </row>
    <row r="25" spans="1:15" s="55" customFormat="1" ht="18" customHeight="1">
      <c r="A25" s="18">
        <v>23</v>
      </c>
      <c r="B25" s="19">
        <v>329</v>
      </c>
      <c r="C25" s="20" t="s">
        <v>212</v>
      </c>
      <c r="D25" s="23" t="s">
        <v>177</v>
      </c>
      <c r="E25" s="18">
        <v>2</v>
      </c>
      <c r="F25" s="18"/>
      <c r="G25" s="20"/>
      <c r="H25" s="18">
        <v>500</v>
      </c>
      <c r="I25" s="78">
        <f>ROUND((9399+8999+9420)/3,0)</f>
        <v>9273</v>
      </c>
      <c r="J25" s="35">
        <v>0.5</v>
      </c>
      <c r="K25" s="36">
        <f t="shared" si="2"/>
        <v>4637</v>
      </c>
      <c r="L25" s="35">
        <v>0.3</v>
      </c>
      <c r="M25" s="36">
        <f t="shared" si="3"/>
        <v>1391</v>
      </c>
      <c r="N25" s="23" t="s">
        <v>213</v>
      </c>
      <c r="O25" s="20" t="s">
        <v>205</v>
      </c>
    </row>
    <row r="26" spans="1:15" s="4" customFormat="1" ht="18" customHeight="1">
      <c r="A26" s="18">
        <v>24</v>
      </c>
      <c r="B26" s="19">
        <v>243</v>
      </c>
      <c r="C26" s="20" t="s">
        <v>214</v>
      </c>
      <c r="D26" s="23" t="s">
        <v>177</v>
      </c>
      <c r="E26" s="18">
        <v>0</v>
      </c>
      <c r="F26" s="18"/>
      <c r="G26" s="20"/>
      <c r="H26" s="18">
        <v>200</v>
      </c>
      <c r="I26" s="78">
        <v>0</v>
      </c>
      <c r="J26" s="35"/>
      <c r="K26" s="36">
        <f t="shared" si="2"/>
        <v>0</v>
      </c>
      <c r="L26" s="35"/>
      <c r="M26" s="36">
        <f t="shared" si="3"/>
        <v>0</v>
      </c>
      <c r="N26" s="23" t="s">
        <v>215</v>
      </c>
      <c r="O26" s="20" t="s">
        <v>110</v>
      </c>
    </row>
    <row r="27" spans="1:15" ht="18" customHeight="1">
      <c r="A27" s="69" t="s">
        <v>47</v>
      </c>
      <c r="B27" s="69"/>
      <c r="C27" s="69"/>
      <c r="D27" s="70"/>
      <c r="E27" s="69">
        <f>SUM(E3:E26)</f>
        <v>24</v>
      </c>
      <c r="F27" s="70"/>
      <c r="G27" s="71"/>
      <c r="H27" s="72">
        <f>SUM(H3:H26)</f>
        <v>9850</v>
      </c>
      <c r="I27" s="85">
        <f>SUM(I3:I26)</f>
        <v>37282</v>
      </c>
      <c r="J27" s="69"/>
      <c r="K27" s="85">
        <f>SUM(K3:K26)</f>
        <v>18491</v>
      </c>
      <c r="L27" s="69"/>
      <c r="M27" s="86">
        <f>SUM(M3:M26)</f>
        <v>5548</v>
      </c>
      <c r="N27" s="70"/>
      <c r="O27" s="87"/>
    </row>
    <row r="28" spans="1:15" ht="14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30" spans="11:14" ht="18.75" customHeight="1">
      <c r="K30" s="88"/>
      <c r="L30" s="88"/>
      <c r="M30" s="88"/>
      <c r="N30" s="89"/>
    </row>
    <row r="31" spans="11:13" ht="18.75" customHeight="1">
      <c r="K31" s="90"/>
      <c r="M31" s="90"/>
    </row>
    <row r="32" spans="11:13" ht="18.75" customHeight="1">
      <c r="K32" s="91"/>
      <c r="M32" s="90"/>
    </row>
    <row r="33" spans="11:13" ht="18.75" customHeight="1">
      <c r="K33" s="90"/>
      <c r="M33" s="90"/>
    </row>
    <row r="34" spans="11:14" ht="18.75" customHeight="1">
      <c r="K34" s="90"/>
      <c r="L34" s="74"/>
      <c r="M34" s="92"/>
      <c r="N34" s="74"/>
    </row>
    <row r="35" spans="8:13" ht="18.75" customHeight="1">
      <c r="H35" s="74"/>
      <c r="I35" s="74"/>
      <c r="J35" s="74"/>
      <c r="K35" s="93"/>
      <c r="L35" s="94"/>
      <c r="M35" s="95"/>
    </row>
    <row r="36" ht="18.75" customHeight="1"/>
    <row r="37" ht="18.75" customHeight="1"/>
  </sheetData>
  <sheetProtection/>
  <mergeCells count="20">
    <mergeCell ref="I1:K1"/>
    <mergeCell ref="L1:M1"/>
    <mergeCell ref="A27:C27"/>
    <mergeCell ref="A1:A2"/>
    <mergeCell ref="B1:B2"/>
    <mergeCell ref="C1:C2"/>
    <mergeCell ref="D1:D2"/>
    <mergeCell ref="E1:E2"/>
    <mergeCell ref="F1:F2"/>
    <mergeCell ref="G1:G2"/>
    <mergeCell ref="G9:G10"/>
    <mergeCell ref="H1:H2"/>
    <mergeCell ref="I9:I10"/>
    <mergeCell ref="J9:J10"/>
    <mergeCell ref="K9:K10"/>
    <mergeCell ref="L9:L10"/>
    <mergeCell ref="M9:M10"/>
    <mergeCell ref="N1:N2"/>
    <mergeCell ref="N9:N10"/>
    <mergeCell ref="O1:O2"/>
  </mergeCells>
  <printOptions/>
  <pageMargins left="0.6298611111111111" right="0.5506944444444445" top="0.4722222222222222" bottom="0.3145833333333333" header="0.5118055555555555" footer="0.3145833333333333"/>
  <pageSetup horizontalDpi="600" verticalDpi="600" orientation="landscape" paperSize="9"/>
  <headerFooter scaleWithDoc="0" alignWithMargins="0">
    <oddHeader>&amp;R&amp;10第&amp;P页共&amp;N页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43"/>
  <sheetViews>
    <sheetView tabSelected="1" zoomScale="142" zoomScaleNormal="142" zoomScaleSheetLayoutView="100" workbookViewId="0" topLeftCell="A1">
      <selection activeCell="S3" sqref="S3"/>
    </sheetView>
  </sheetViews>
  <sheetFormatPr defaultColWidth="9.00390625" defaultRowHeight="14.25"/>
  <cols>
    <col min="1" max="1" width="5.125" style="4" customWidth="1"/>
    <col min="2" max="2" width="5.75390625" style="4" customWidth="1"/>
    <col min="3" max="3" width="11.875" style="4" customWidth="1"/>
    <col min="4" max="4" width="5.50390625" style="4" customWidth="1"/>
    <col min="5" max="5" width="5.25390625" style="4" customWidth="1"/>
    <col min="6" max="6" width="9.125" style="4" customWidth="1"/>
    <col min="7" max="7" width="20.00390625" style="4" customWidth="1"/>
    <col min="8" max="8" width="10.75390625" style="4" hidden="1" customWidth="1"/>
    <col min="9" max="9" width="10.00390625" style="4" hidden="1" customWidth="1"/>
    <col min="10" max="11" width="10.25390625" style="4" hidden="1" customWidth="1"/>
    <col min="12" max="12" width="12.875" style="5" customWidth="1"/>
    <col min="13" max="13" width="7.00390625" style="4" customWidth="1"/>
    <col min="14" max="14" width="12.25390625" style="4" customWidth="1"/>
    <col min="15" max="15" width="10.625" style="4" customWidth="1"/>
    <col min="16" max="16" width="16.25390625" style="4" customWidth="1"/>
    <col min="17" max="16384" width="9.00390625" style="6" customWidth="1"/>
  </cols>
  <sheetData>
    <row r="1" spans="1:16" s="1" customFormat="1" ht="18.75" customHeight="1">
      <c r="A1" s="7" t="s">
        <v>0</v>
      </c>
      <c r="B1" s="8" t="s">
        <v>1</v>
      </c>
      <c r="C1" s="9" t="s">
        <v>2</v>
      </c>
      <c r="D1" s="10" t="s">
        <v>3</v>
      </c>
      <c r="E1" s="7" t="s">
        <v>4</v>
      </c>
      <c r="F1" s="11" t="s">
        <v>48</v>
      </c>
      <c r="G1" s="7" t="s">
        <v>5</v>
      </c>
      <c r="H1" s="12" t="s">
        <v>6</v>
      </c>
      <c r="I1" s="24" t="s">
        <v>49</v>
      </c>
      <c r="J1" s="25"/>
      <c r="K1" s="7"/>
      <c r="L1" s="26" t="s">
        <v>7</v>
      </c>
      <c r="M1" s="27" t="s">
        <v>9</v>
      </c>
      <c r="N1" s="28"/>
      <c r="O1" s="12" t="s">
        <v>10</v>
      </c>
      <c r="P1" s="11" t="s">
        <v>11</v>
      </c>
    </row>
    <row r="2" spans="1:16" s="1" customFormat="1" ht="30" customHeight="1">
      <c r="A2" s="7"/>
      <c r="B2" s="13"/>
      <c r="C2" s="14"/>
      <c r="D2" s="15"/>
      <c r="E2" s="7"/>
      <c r="F2" s="16"/>
      <c r="G2" s="7"/>
      <c r="H2" s="17"/>
      <c r="I2" s="29" t="s">
        <v>216</v>
      </c>
      <c r="J2" s="30" t="s">
        <v>217</v>
      </c>
      <c r="K2" s="31" t="s">
        <v>53</v>
      </c>
      <c r="L2" s="32"/>
      <c r="M2" s="33" t="s">
        <v>8</v>
      </c>
      <c r="N2" s="34" t="s">
        <v>13</v>
      </c>
      <c r="O2" s="17"/>
      <c r="P2" s="16"/>
    </row>
    <row r="3" spans="1:16" s="2" customFormat="1" ht="18" customHeight="1">
      <c r="A3" s="18">
        <v>1</v>
      </c>
      <c r="B3" s="19">
        <v>7</v>
      </c>
      <c r="C3" s="20" t="s">
        <v>218</v>
      </c>
      <c r="D3" s="18" t="s">
        <v>163</v>
      </c>
      <c r="E3" s="21">
        <v>1</v>
      </c>
      <c r="F3" s="18" t="s">
        <v>219</v>
      </c>
      <c r="G3" s="20" t="s">
        <v>220</v>
      </c>
      <c r="H3" s="18">
        <v>500</v>
      </c>
      <c r="I3" s="18"/>
      <c r="J3" s="18">
        <v>3600</v>
      </c>
      <c r="K3" s="35">
        <v>0.8</v>
      </c>
      <c r="L3" s="36">
        <f>ROUND((950+988+950)/3,0)</f>
        <v>963</v>
      </c>
      <c r="M3" s="35">
        <v>0.4</v>
      </c>
      <c r="N3" s="36">
        <f>ROUND(L3*M3,0)</f>
        <v>385</v>
      </c>
      <c r="O3" s="37"/>
      <c r="P3" s="38" t="s">
        <v>59</v>
      </c>
    </row>
    <row r="4" spans="1:16" s="2" customFormat="1" ht="18" customHeight="1">
      <c r="A4" s="18">
        <v>2</v>
      </c>
      <c r="B4" s="19">
        <v>9</v>
      </c>
      <c r="C4" s="20" t="s">
        <v>85</v>
      </c>
      <c r="D4" s="18" t="s">
        <v>100</v>
      </c>
      <c r="E4" s="18">
        <v>1</v>
      </c>
      <c r="F4" s="18" t="s">
        <v>56</v>
      </c>
      <c r="G4" s="20" t="s">
        <v>221</v>
      </c>
      <c r="H4" s="18">
        <v>5000</v>
      </c>
      <c r="I4" s="18">
        <v>20000</v>
      </c>
      <c r="J4" s="18">
        <v>16000</v>
      </c>
      <c r="K4" s="35"/>
      <c r="L4" s="36">
        <f>ROUND((5888+5980+5800)/3,0)</f>
        <v>5889</v>
      </c>
      <c r="M4" s="35">
        <v>0.6</v>
      </c>
      <c r="N4" s="36">
        <f aca="true" t="shared" si="0" ref="N4:N67">ROUND(L4*M4,0)</f>
        <v>3533</v>
      </c>
      <c r="O4" s="37" t="s">
        <v>222</v>
      </c>
      <c r="P4" s="38" t="s">
        <v>59</v>
      </c>
    </row>
    <row r="5" spans="1:16" s="2" customFormat="1" ht="18" customHeight="1">
      <c r="A5" s="18">
        <v>3</v>
      </c>
      <c r="B5" s="19">
        <v>11</v>
      </c>
      <c r="C5" s="20" t="s">
        <v>223</v>
      </c>
      <c r="D5" s="18" t="s">
        <v>100</v>
      </c>
      <c r="E5" s="18">
        <v>1</v>
      </c>
      <c r="F5" s="18" t="s">
        <v>224</v>
      </c>
      <c r="G5" s="20" t="s">
        <v>225</v>
      </c>
      <c r="H5" s="18">
        <v>3000</v>
      </c>
      <c r="I5" s="18">
        <v>5000</v>
      </c>
      <c r="J5" s="18">
        <v>2000</v>
      </c>
      <c r="K5" s="35"/>
      <c r="L5" s="36">
        <f>ROUND((858+878+942)/3,0)</f>
        <v>893</v>
      </c>
      <c r="M5" s="35">
        <v>0.5</v>
      </c>
      <c r="N5" s="36">
        <f t="shared" si="0"/>
        <v>447</v>
      </c>
      <c r="O5" s="37"/>
      <c r="P5" s="38" t="s">
        <v>59</v>
      </c>
    </row>
    <row r="6" spans="1:16" s="2" customFormat="1" ht="18" customHeight="1">
      <c r="A6" s="18">
        <v>4</v>
      </c>
      <c r="B6" s="19">
        <v>13</v>
      </c>
      <c r="C6" s="20" t="s">
        <v>226</v>
      </c>
      <c r="D6" s="18" t="s">
        <v>100</v>
      </c>
      <c r="E6" s="18">
        <v>1</v>
      </c>
      <c r="F6" s="18" t="s">
        <v>227</v>
      </c>
      <c r="G6" s="20" t="s">
        <v>228</v>
      </c>
      <c r="H6" s="18">
        <v>200</v>
      </c>
      <c r="I6" s="18">
        <v>1000</v>
      </c>
      <c r="J6" s="18">
        <v>1000</v>
      </c>
      <c r="K6" s="35"/>
      <c r="L6" s="36">
        <f>ROUND((108+116.16+98)/3,0)</f>
        <v>107</v>
      </c>
      <c r="M6" s="35">
        <v>0.4</v>
      </c>
      <c r="N6" s="36">
        <f t="shared" si="0"/>
        <v>43</v>
      </c>
      <c r="O6" s="37" t="s">
        <v>229</v>
      </c>
      <c r="P6" s="38" t="s">
        <v>59</v>
      </c>
    </row>
    <row r="7" spans="1:16" s="2" customFormat="1" ht="18" customHeight="1">
      <c r="A7" s="18">
        <v>5</v>
      </c>
      <c r="B7" s="19">
        <v>14</v>
      </c>
      <c r="C7" s="20" t="s">
        <v>230</v>
      </c>
      <c r="D7" s="18" t="s">
        <v>100</v>
      </c>
      <c r="E7" s="18">
        <v>1</v>
      </c>
      <c r="F7" s="18" t="s">
        <v>231</v>
      </c>
      <c r="G7" s="20" t="s">
        <v>232</v>
      </c>
      <c r="H7" s="18">
        <v>200</v>
      </c>
      <c r="I7" s="18">
        <v>1000</v>
      </c>
      <c r="J7" s="18">
        <v>1800</v>
      </c>
      <c r="K7" s="35"/>
      <c r="L7" s="36">
        <f>ROUND((108+116.16+98)/3,0)</f>
        <v>107</v>
      </c>
      <c r="M7" s="35">
        <v>0.4</v>
      </c>
      <c r="N7" s="36">
        <f t="shared" si="0"/>
        <v>43</v>
      </c>
      <c r="O7" s="37"/>
      <c r="P7" s="38" t="s">
        <v>59</v>
      </c>
    </row>
    <row r="8" spans="1:16" s="2" customFormat="1" ht="18" customHeight="1">
      <c r="A8" s="18">
        <v>6</v>
      </c>
      <c r="B8" s="19">
        <v>15</v>
      </c>
      <c r="C8" s="20" t="s">
        <v>233</v>
      </c>
      <c r="D8" s="18" t="s">
        <v>100</v>
      </c>
      <c r="E8" s="18">
        <v>1</v>
      </c>
      <c r="F8" s="18" t="s">
        <v>234</v>
      </c>
      <c r="G8" s="20" t="s">
        <v>235</v>
      </c>
      <c r="H8" s="18">
        <v>500</v>
      </c>
      <c r="I8" s="18">
        <v>1000</v>
      </c>
      <c r="J8" s="18">
        <v>1000</v>
      </c>
      <c r="K8" s="35"/>
      <c r="L8" s="36">
        <f>ROUND((319+367+369)/3,0)</f>
        <v>352</v>
      </c>
      <c r="M8" s="35">
        <v>0.4</v>
      </c>
      <c r="N8" s="36">
        <f t="shared" si="0"/>
        <v>141</v>
      </c>
      <c r="O8" s="37"/>
      <c r="P8" s="38" t="s">
        <v>59</v>
      </c>
    </row>
    <row r="9" spans="1:16" s="2" customFormat="1" ht="18" customHeight="1">
      <c r="A9" s="18">
        <v>7</v>
      </c>
      <c r="B9" s="19">
        <v>16</v>
      </c>
      <c r="C9" s="20" t="s">
        <v>236</v>
      </c>
      <c r="D9" s="18" t="s">
        <v>100</v>
      </c>
      <c r="E9" s="18">
        <v>1</v>
      </c>
      <c r="F9" s="18" t="s">
        <v>237</v>
      </c>
      <c r="G9" s="20" t="s">
        <v>238</v>
      </c>
      <c r="H9" s="18">
        <v>300</v>
      </c>
      <c r="I9" s="18">
        <v>10000</v>
      </c>
      <c r="J9" s="18">
        <v>2000</v>
      </c>
      <c r="K9" s="35"/>
      <c r="L9" s="36">
        <f>ROUND((660+672+680)/3,0)</f>
        <v>671</v>
      </c>
      <c r="M9" s="35">
        <v>0.4</v>
      </c>
      <c r="N9" s="36">
        <f t="shared" si="0"/>
        <v>268</v>
      </c>
      <c r="O9" s="37"/>
      <c r="P9" s="38" t="s">
        <v>59</v>
      </c>
    </row>
    <row r="10" spans="1:16" s="2" customFormat="1" ht="18" customHeight="1">
      <c r="A10" s="18">
        <v>8</v>
      </c>
      <c r="B10" s="19">
        <v>17</v>
      </c>
      <c r="C10" s="20" t="s">
        <v>226</v>
      </c>
      <c r="D10" s="18" t="s">
        <v>100</v>
      </c>
      <c r="E10" s="18">
        <v>1</v>
      </c>
      <c r="F10" s="18" t="s">
        <v>227</v>
      </c>
      <c r="G10" s="20" t="s">
        <v>228</v>
      </c>
      <c r="H10" s="18">
        <v>200</v>
      </c>
      <c r="I10" s="18">
        <v>1000</v>
      </c>
      <c r="J10" s="18">
        <v>1000</v>
      </c>
      <c r="K10" s="35"/>
      <c r="L10" s="36">
        <f>L6</f>
        <v>107</v>
      </c>
      <c r="M10" s="35">
        <v>0.4</v>
      </c>
      <c r="N10" s="36">
        <f t="shared" si="0"/>
        <v>43</v>
      </c>
      <c r="O10" s="37" t="s">
        <v>239</v>
      </c>
      <c r="P10" s="38" t="s">
        <v>59</v>
      </c>
    </row>
    <row r="11" spans="1:16" s="2" customFormat="1" ht="18" customHeight="1">
      <c r="A11" s="18">
        <v>9</v>
      </c>
      <c r="B11" s="19">
        <v>18</v>
      </c>
      <c r="C11" s="20" t="s">
        <v>240</v>
      </c>
      <c r="D11" s="18" t="s">
        <v>241</v>
      </c>
      <c r="E11" s="18">
        <v>1</v>
      </c>
      <c r="F11" s="18" t="s">
        <v>242</v>
      </c>
      <c r="G11" s="20" t="s">
        <v>243</v>
      </c>
      <c r="H11" s="18">
        <v>5000</v>
      </c>
      <c r="I11" s="18">
        <v>10000</v>
      </c>
      <c r="J11" s="18">
        <v>30000</v>
      </c>
      <c r="K11" s="35"/>
      <c r="L11" s="36">
        <f>ROUND((1998+2300+2298)/3,0)</f>
        <v>2199</v>
      </c>
      <c r="M11" s="35">
        <v>0.5</v>
      </c>
      <c r="N11" s="36">
        <f t="shared" si="0"/>
        <v>1100</v>
      </c>
      <c r="O11" s="37"/>
      <c r="P11" s="38" t="s">
        <v>59</v>
      </c>
    </row>
    <row r="12" spans="1:16" s="2" customFormat="1" ht="18" customHeight="1">
      <c r="A12" s="18">
        <v>10</v>
      </c>
      <c r="B12" s="19">
        <v>20</v>
      </c>
      <c r="C12" s="20" t="s">
        <v>244</v>
      </c>
      <c r="D12" s="18" t="s">
        <v>245</v>
      </c>
      <c r="E12" s="18">
        <v>1</v>
      </c>
      <c r="F12" s="18"/>
      <c r="G12" s="20" t="s">
        <v>246</v>
      </c>
      <c r="H12" s="18">
        <v>3800</v>
      </c>
      <c r="I12" s="18">
        <v>750</v>
      </c>
      <c r="J12" s="18">
        <v>6000</v>
      </c>
      <c r="K12" s="35"/>
      <c r="L12" s="36">
        <f>ROUND((758+788+888+912)/4,0)</f>
        <v>837</v>
      </c>
      <c r="M12" s="35">
        <v>0.5</v>
      </c>
      <c r="N12" s="36">
        <f t="shared" si="0"/>
        <v>419</v>
      </c>
      <c r="O12" s="37"/>
      <c r="P12" s="38" t="s">
        <v>59</v>
      </c>
    </row>
    <row r="13" spans="1:16" s="2" customFormat="1" ht="18" customHeight="1">
      <c r="A13" s="18">
        <v>11</v>
      </c>
      <c r="B13" s="19">
        <v>21</v>
      </c>
      <c r="C13" s="20" t="s">
        <v>247</v>
      </c>
      <c r="D13" s="18" t="s">
        <v>245</v>
      </c>
      <c r="E13" s="18">
        <v>1</v>
      </c>
      <c r="F13" s="18"/>
      <c r="G13" s="20" t="s">
        <v>248</v>
      </c>
      <c r="H13" s="18">
        <v>3000</v>
      </c>
      <c r="I13" s="18"/>
      <c r="J13" s="18">
        <v>3000</v>
      </c>
      <c r="K13" s="35"/>
      <c r="L13" s="36">
        <f>ROUND((1035+1158+727.5)/3,0)</f>
        <v>974</v>
      </c>
      <c r="M13" s="35">
        <v>0.5</v>
      </c>
      <c r="N13" s="36">
        <f t="shared" si="0"/>
        <v>487</v>
      </c>
      <c r="O13" s="37"/>
      <c r="P13" s="38" t="s">
        <v>59</v>
      </c>
    </row>
    <row r="14" spans="1:16" s="2" customFormat="1" ht="18" customHeight="1">
      <c r="A14" s="18">
        <v>12</v>
      </c>
      <c r="B14" s="19">
        <v>22</v>
      </c>
      <c r="C14" s="20" t="s">
        <v>249</v>
      </c>
      <c r="D14" s="18" t="s">
        <v>245</v>
      </c>
      <c r="E14" s="18">
        <v>1</v>
      </c>
      <c r="F14" s="18"/>
      <c r="G14" s="20" t="s">
        <v>250</v>
      </c>
      <c r="H14" s="18">
        <v>2000</v>
      </c>
      <c r="I14" s="18"/>
      <c r="J14" s="18">
        <v>2000</v>
      </c>
      <c r="K14" s="35"/>
      <c r="L14" s="36">
        <f>ROUND((1035+1158+727.5)/3,0)</f>
        <v>974</v>
      </c>
      <c r="M14" s="35">
        <v>0.5</v>
      </c>
      <c r="N14" s="36">
        <f t="shared" si="0"/>
        <v>487</v>
      </c>
      <c r="O14" s="37"/>
      <c r="P14" s="38" t="s">
        <v>59</v>
      </c>
    </row>
    <row r="15" spans="1:16" s="2" customFormat="1" ht="18" customHeight="1">
      <c r="A15" s="18">
        <v>13</v>
      </c>
      <c r="B15" s="19">
        <v>23</v>
      </c>
      <c r="C15" s="20" t="s">
        <v>251</v>
      </c>
      <c r="D15" s="18" t="s">
        <v>245</v>
      </c>
      <c r="E15" s="18">
        <v>1</v>
      </c>
      <c r="F15" s="18"/>
      <c r="G15" s="20" t="s">
        <v>252</v>
      </c>
      <c r="H15" s="18">
        <v>2000</v>
      </c>
      <c r="I15" s="18"/>
      <c r="J15" s="18">
        <v>3000</v>
      </c>
      <c r="K15" s="35"/>
      <c r="L15" s="36">
        <f>ROUND((1035+1158+727.5)/3,0)</f>
        <v>974</v>
      </c>
      <c r="M15" s="35">
        <v>0.5</v>
      </c>
      <c r="N15" s="36">
        <f t="shared" si="0"/>
        <v>487</v>
      </c>
      <c r="O15" s="37"/>
      <c r="P15" s="38" t="s">
        <v>59</v>
      </c>
    </row>
    <row r="16" spans="1:16" s="2" customFormat="1" ht="18" customHeight="1">
      <c r="A16" s="18">
        <v>14</v>
      </c>
      <c r="B16" s="19">
        <v>24</v>
      </c>
      <c r="C16" s="20" t="s">
        <v>253</v>
      </c>
      <c r="D16" s="18" t="s">
        <v>254</v>
      </c>
      <c r="E16" s="18">
        <v>1</v>
      </c>
      <c r="F16" s="18" t="s">
        <v>234</v>
      </c>
      <c r="G16" s="20" t="s">
        <v>255</v>
      </c>
      <c r="H16" s="18">
        <v>4000</v>
      </c>
      <c r="I16" s="18">
        <v>20000</v>
      </c>
      <c r="J16" s="18">
        <v>4000</v>
      </c>
      <c r="K16" s="35"/>
      <c r="L16" s="36">
        <f>ROUND((1560+1580+1480)/3*2,0)</f>
        <v>3080</v>
      </c>
      <c r="M16" s="35">
        <v>0.6</v>
      </c>
      <c r="N16" s="36">
        <f t="shared" si="0"/>
        <v>1848</v>
      </c>
      <c r="O16" s="37"/>
      <c r="P16" s="38" t="s">
        <v>59</v>
      </c>
    </row>
    <row r="17" spans="1:16" s="2" customFormat="1" ht="18" customHeight="1">
      <c r="A17" s="18">
        <v>15</v>
      </c>
      <c r="B17" s="19">
        <v>25</v>
      </c>
      <c r="C17" s="20" t="s">
        <v>256</v>
      </c>
      <c r="D17" s="18" t="s">
        <v>100</v>
      </c>
      <c r="E17" s="18">
        <v>1</v>
      </c>
      <c r="F17" s="18" t="s">
        <v>234</v>
      </c>
      <c r="G17" s="20" t="s">
        <v>257</v>
      </c>
      <c r="H17" s="18">
        <v>100</v>
      </c>
      <c r="I17" s="18">
        <v>2000</v>
      </c>
      <c r="J17" s="18">
        <v>1800</v>
      </c>
      <c r="K17" s="35"/>
      <c r="L17" s="36">
        <f>L144</f>
        <v>491</v>
      </c>
      <c r="M17" s="35">
        <v>0.4</v>
      </c>
      <c r="N17" s="36">
        <f t="shared" si="0"/>
        <v>196</v>
      </c>
      <c r="O17" s="37"/>
      <c r="P17" s="38" t="s">
        <v>59</v>
      </c>
    </row>
    <row r="18" spans="1:16" s="2" customFormat="1" ht="18" customHeight="1">
      <c r="A18" s="18">
        <v>16</v>
      </c>
      <c r="B18" s="19">
        <v>26</v>
      </c>
      <c r="C18" s="20" t="s">
        <v>258</v>
      </c>
      <c r="D18" s="18" t="s">
        <v>100</v>
      </c>
      <c r="E18" s="18">
        <v>1</v>
      </c>
      <c r="F18" s="18" t="s">
        <v>234</v>
      </c>
      <c r="G18" s="20" t="s">
        <v>257</v>
      </c>
      <c r="H18" s="18">
        <v>300</v>
      </c>
      <c r="I18" s="18">
        <v>750</v>
      </c>
      <c r="J18" s="18">
        <v>1800</v>
      </c>
      <c r="K18" s="35"/>
      <c r="L18" s="36">
        <f>L17</f>
        <v>491</v>
      </c>
      <c r="M18" s="35">
        <v>0.4</v>
      </c>
      <c r="N18" s="36">
        <f t="shared" si="0"/>
        <v>196</v>
      </c>
      <c r="O18" s="37"/>
      <c r="P18" s="38" t="s">
        <v>59</v>
      </c>
    </row>
    <row r="19" spans="1:16" s="2" customFormat="1" ht="18" customHeight="1">
      <c r="A19" s="18">
        <v>17</v>
      </c>
      <c r="B19" s="19">
        <v>27</v>
      </c>
      <c r="C19" s="20" t="s">
        <v>259</v>
      </c>
      <c r="D19" s="18" t="s">
        <v>100</v>
      </c>
      <c r="E19" s="18">
        <v>1</v>
      </c>
      <c r="F19" s="18" t="s">
        <v>260</v>
      </c>
      <c r="G19" s="20" t="s">
        <v>261</v>
      </c>
      <c r="H19" s="18">
        <v>1000</v>
      </c>
      <c r="I19" s="18">
        <v>750</v>
      </c>
      <c r="J19" s="18">
        <v>3000</v>
      </c>
      <c r="K19" s="35"/>
      <c r="L19" s="36">
        <v>488</v>
      </c>
      <c r="M19" s="35">
        <v>0.4</v>
      </c>
      <c r="N19" s="36">
        <f t="shared" si="0"/>
        <v>195</v>
      </c>
      <c r="O19" s="37"/>
      <c r="P19" s="38" t="s">
        <v>59</v>
      </c>
    </row>
    <row r="20" spans="1:16" s="2" customFormat="1" ht="18" customHeight="1">
      <c r="A20" s="18">
        <v>18</v>
      </c>
      <c r="B20" s="19">
        <v>31</v>
      </c>
      <c r="C20" s="20" t="s">
        <v>262</v>
      </c>
      <c r="D20" s="18" t="s">
        <v>100</v>
      </c>
      <c r="E20" s="18">
        <v>1</v>
      </c>
      <c r="F20" s="18" t="s">
        <v>263</v>
      </c>
      <c r="G20" s="20" t="s">
        <v>264</v>
      </c>
      <c r="H20" s="18">
        <v>3000</v>
      </c>
      <c r="I20" s="18">
        <v>10000</v>
      </c>
      <c r="J20" s="18">
        <v>50000</v>
      </c>
      <c r="K20" s="35"/>
      <c r="L20" s="36">
        <v>28000</v>
      </c>
      <c r="M20" s="35">
        <v>0.5</v>
      </c>
      <c r="N20" s="36">
        <f t="shared" si="0"/>
        <v>14000</v>
      </c>
      <c r="O20" s="37"/>
      <c r="P20" s="38" t="s">
        <v>59</v>
      </c>
    </row>
    <row r="21" spans="1:16" s="2" customFormat="1" ht="18" customHeight="1">
      <c r="A21" s="18">
        <v>19</v>
      </c>
      <c r="B21" s="19">
        <v>32</v>
      </c>
      <c r="C21" s="20" t="s">
        <v>265</v>
      </c>
      <c r="D21" s="18" t="s">
        <v>100</v>
      </c>
      <c r="E21" s="18">
        <v>1</v>
      </c>
      <c r="F21" s="18" t="s">
        <v>234</v>
      </c>
      <c r="G21" s="20" t="s">
        <v>266</v>
      </c>
      <c r="H21" s="18">
        <v>1000</v>
      </c>
      <c r="I21" s="18">
        <v>1000</v>
      </c>
      <c r="J21" s="18">
        <v>1000</v>
      </c>
      <c r="K21" s="35"/>
      <c r="L21" s="36">
        <f>L139</f>
        <v>713</v>
      </c>
      <c r="M21" s="35">
        <v>0.4</v>
      </c>
      <c r="N21" s="36">
        <f t="shared" si="0"/>
        <v>285</v>
      </c>
      <c r="O21" s="37"/>
      <c r="P21" s="38" t="s">
        <v>59</v>
      </c>
    </row>
    <row r="22" spans="1:16" s="2" customFormat="1" ht="18" customHeight="1">
      <c r="A22" s="18">
        <v>20</v>
      </c>
      <c r="B22" s="19">
        <v>33</v>
      </c>
      <c r="C22" s="20" t="s">
        <v>267</v>
      </c>
      <c r="D22" s="18" t="s">
        <v>100</v>
      </c>
      <c r="E22" s="18">
        <v>1</v>
      </c>
      <c r="F22" s="18" t="s">
        <v>268</v>
      </c>
      <c r="G22" s="20" t="s">
        <v>269</v>
      </c>
      <c r="H22" s="18">
        <v>500</v>
      </c>
      <c r="I22" s="18">
        <v>1000</v>
      </c>
      <c r="J22" s="18">
        <v>2600</v>
      </c>
      <c r="K22" s="35"/>
      <c r="L22" s="36">
        <f>ROUND((390+488*2+400)/4,0)</f>
        <v>442</v>
      </c>
      <c r="M22" s="35">
        <v>0.5</v>
      </c>
      <c r="N22" s="36">
        <f t="shared" si="0"/>
        <v>221</v>
      </c>
      <c r="O22" s="37"/>
      <c r="P22" s="38" t="s">
        <v>59</v>
      </c>
    </row>
    <row r="23" spans="1:16" s="2" customFormat="1" ht="18" customHeight="1">
      <c r="A23" s="18">
        <v>21</v>
      </c>
      <c r="B23" s="19">
        <v>34</v>
      </c>
      <c r="C23" s="20" t="s">
        <v>270</v>
      </c>
      <c r="D23" s="18" t="s">
        <v>100</v>
      </c>
      <c r="E23" s="18">
        <v>1</v>
      </c>
      <c r="F23" s="18"/>
      <c r="G23" s="20" t="s">
        <v>271</v>
      </c>
      <c r="H23" s="18">
        <v>200</v>
      </c>
      <c r="I23" s="18"/>
      <c r="J23" s="18">
        <v>300</v>
      </c>
      <c r="K23" s="35"/>
      <c r="L23" s="36">
        <f>ROUND((299+316+268)/3,0)</f>
        <v>294</v>
      </c>
      <c r="M23" s="35">
        <v>0.4</v>
      </c>
      <c r="N23" s="36">
        <f t="shared" si="0"/>
        <v>118</v>
      </c>
      <c r="O23" s="37"/>
      <c r="P23" s="38" t="s">
        <v>59</v>
      </c>
    </row>
    <row r="24" spans="1:16" s="2" customFormat="1" ht="18" customHeight="1">
      <c r="A24" s="18">
        <v>22</v>
      </c>
      <c r="B24" s="19">
        <v>35</v>
      </c>
      <c r="C24" s="20" t="s">
        <v>272</v>
      </c>
      <c r="D24" s="18" t="s">
        <v>100</v>
      </c>
      <c r="E24" s="18">
        <v>1</v>
      </c>
      <c r="F24" s="18" t="s">
        <v>234</v>
      </c>
      <c r="G24" s="20" t="s">
        <v>273</v>
      </c>
      <c r="H24" s="18">
        <v>500</v>
      </c>
      <c r="I24" s="18">
        <v>2000</v>
      </c>
      <c r="J24" s="18">
        <v>1000</v>
      </c>
      <c r="K24" s="35"/>
      <c r="L24" s="36">
        <f>ROUND((299+316+268)/3,0)</f>
        <v>294</v>
      </c>
      <c r="M24" s="35">
        <v>0.5</v>
      </c>
      <c r="N24" s="36">
        <f t="shared" si="0"/>
        <v>147</v>
      </c>
      <c r="O24" s="37"/>
      <c r="P24" s="38" t="s">
        <v>59</v>
      </c>
    </row>
    <row r="25" spans="1:16" s="2" customFormat="1" ht="18" customHeight="1">
      <c r="A25" s="18">
        <v>23</v>
      </c>
      <c r="B25" s="19">
        <v>36</v>
      </c>
      <c r="C25" s="20" t="s">
        <v>274</v>
      </c>
      <c r="D25" s="18" t="s">
        <v>100</v>
      </c>
      <c r="E25" s="18">
        <v>1</v>
      </c>
      <c r="F25" s="18" t="s">
        <v>263</v>
      </c>
      <c r="G25" s="20" t="s">
        <v>275</v>
      </c>
      <c r="H25" s="18">
        <v>300</v>
      </c>
      <c r="I25" s="18"/>
      <c r="J25" s="18">
        <v>300</v>
      </c>
      <c r="K25" s="35"/>
      <c r="L25" s="36">
        <f>ROUND((345.18+358+358.74)/3,0)</f>
        <v>354</v>
      </c>
      <c r="M25" s="35">
        <v>0.4</v>
      </c>
      <c r="N25" s="36">
        <f t="shared" si="0"/>
        <v>142</v>
      </c>
      <c r="O25" s="37"/>
      <c r="P25" s="38" t="s">
        <v>59</v>
      </c>
    </row>
    <row r="26" spans="1:16" s="2" customFormat="1" ht="18" customHeight="1">
      <c r="A26" s="18">
        <v>24</v>
      </c>
      <c r="B26" s="19">
        <v>37</v>
      </c>
      <c r="C26" s="20" t="s">
        <v>276</v>
      </c>
      <c r="D26" s="18" t="s">
        <v>254</v>
      </c>
      <c r="E26" s="18">
        <v>1</v>
      </c>
      <c r="F26" s="18"/>
      <c r="G26" s="20" t="s">
        <v>277</v>
      </c>
      <c r="H26" s="18">
        <v>300</v>
      </c>
      <c r="I26" s="18">
        <v>200</v>
      </c>
      <c r="J26" s="18">
        <v>800</v>
      </c>
      <c r="K26" s="35"/>
      <c r="L26" s="36">
        <f>ROUND((1188+1368+1303)/3*2,0)</f>
        <v>2573</v>
      </c>
      <c r="M26" s="35">
        <v>0.5</v>
      </c>
      <c r="N26" s="36">
        <f t="shared" si="0"/>
        <v>1287</v>
      </c>
      <c r="O26" s="37"/>
      <c r="P26" s="38" t="s">
        <v>59</v>
      </c>
    </row>
    <row r="27" spans="1:16" s="2" customFormat="1" ht="18" customHeight="1">
      <c r="A27" s="18">
        <v>25</v>
      </c>
      <c r="B27" s="19">
        <v>38</v>
      </c>
      <c r="C27" s="20" t="s">
        <v>278</v>
      </c>
      <c r="D27" s="18" t="s">
        <v>254</v>
      </c>
      <c r="E27" s="18">
        <v>1</v>
      </c>
      <c r="F27" s="18"/>
      <c r="G27" s="20" t="s">
        <v>279</v>
      </c>
      <c r="H27" s="18">
        <v>200</v>
      </c>
      <c r="I27" s="18">
        <v>500</v>
      </c>
      <c r="J27" s="18">
        <v>600</v>
      </c>
      <c r="K27" s="35"/>
      <c r="L27" s="36">
        <f>488*2</f>
        <v>976</v>
      </c>
      <c r="M27" s="35">
        <v>0.4</v>
      </c>
      <c r="N27" s="36">
        <f t="shared" si="0"/>
        <v>390</v>
      </c>
      <c r="O27" s="37"/>
      <c r="P27" s="38" t="s">
        <v>59</v>
      </c>
    </row>
    <row r="28" spans="1:16" s="2" customFormat="1" ht="18" customHeight="1">
      <c r="A28" s="18">
        <v>26</v>
      </c>
      <c r="B28" s="19">
        <v>42</v>
      </c>
      <c r="C28" s="20" t="s">
        <v>280</v>
      </c>
      <c r="D28" s="18" t="s">
        <v>100</v>
      </c>
      <c r="E28" s="18">
        <v>1</v>
      </c>
      <c r="F28" s="18" t="s">
        <v>281</v>
      </c>
      <c r="G28" s="20" t="s">
        <v>282</v>
      </c>
      <c r="H28" s="18">
        <v>2000</v>
      </c>
      <c r="I28" s="18">
        <v>2000</v>
      </c>
      <c r="J28" s="18">
        <v>6000</v>
      </c>
      <c r="K28" s="35"/>
      <c r="L28" s="36">
        <f>ROUND((108+1099+1188)/3,0)</f>
        <v>798</v>
      </c>
      <c r="M28" s="35">
        <v>0.4</v>
      </c>
      <c r="N28" s="36">
        <f t="shared" si="0"/>
        <v>319</v>
      </c>
      <c r="O28" s="37" t="s">
        <v>283</v>
      </c>
      <c r="P28" s="38" t="s">
        <v>59</v>
      </c>
    </row>
    <row r="29" spans="1:16" s="2" customFormat="1" ht="18" customHeight="1">
      <c r="A29" s="18">
        <v>27</v>
      </c>
      <c r="B29" s="19">
        <v>43</v>
      </c>
      <c r="C29" s="20" t="s">
        <v>284</v>
      </c>
      <c r="D29" s="18" t="s">
        <v>100</v>
      </c>
      <c r="E29" s="18">
        <v>1</v>
      </c>
      <c r="F29" s="18"/>
      <c r="G29" s="20" t="s">
        <v>285</v>
      </c>
      <c r="H29" s="18">
        <v>300</v>
      </c>
      <c r="I29" s="18"/>
      <c r="J29" s="18">
        <v>800</v>
      </c>
      <c r="K29" s="35"/>
      <c r="L29" s="36">
        <f>ROUND((960+980+900)/3,0)</f>
        <v>947</v>
      </c>
      <c r="M29" s="35">
        <v>0.4</v>
      </c>
      <c r="N29" s="36">
        <f t="shared" si="0"/>
        <v>379</v>
      </c>
      <c r="O29" s="37"/>
      <c r="P29" s="38" t="s">
        <v>59</v>
      </c>
    </row>
    <row r="30" spans="1:16" s="2" customFormat="1" ht="18" customHeight="1">
      <c r="A30" s="18">
        <v>28</v>
      </c>
      <c r="B30" s="19">
        <v>44</v>
      </c>
      <c r="C30" s="20" t="s">
        <v>286</v>
      </c>
      <c r="D30" s="18" t="s">
        <v>100</v>
      </c>
      <c r="E30" s="18">
        <v>1</v>
      </c>
      <c r="F30" s="18" t="s">
        <v>287</v>
      </c>
      <c r="G30" s="20" t="s">
        <v>288</v>
      </c>
      <c r="H30" s="18">
        <v>33000</v>
      </c>
      <c r="I30" s="18"/>
      <c r="J30" s="18">
        <v>1000</v>
      </c>
      <c r="K30" s="35"/>
      <c r="L30" s="36">
        <f>ROUND((1140+1380+1380)/3,0)</f>
        <v>1300</v>
      </c>
      <c r="M30" s="35">
        <v>0.5</v>
      </c>
      <c r="N30" s="36">
        <f t="shared" si="0"/>
        <v>650</v>
      </c>
      <c r="O30" s="37"/>
      <c r="P30" s="38" t="s">
        <v>59</v>
      </c>
    </row>
    <row r="31" spans="1:16" s="2" customFormat="1" ht="18" customHeight="1">
      <c r="A31" s="18">
        <v>29</v>
      </c>
      <c r="B31" s="19">
        <v>46</v>
      </c>
      <c r="C31" s="20" t="s">
        <v>289</v>
      </c>
      <c r="D31" s="18" t="s">
        <v>100</v>
      </c>
      <c r="E31" s="18">
        <v>1</v>
      </c>
      <c r="F31" s="18" t="s">
        <v>290</v>
      </c>
      <c r="G31" s="20" t="s">
        <v>291</v>
      </c>
      <c r="H31" s="18">
        <v>500</v>
      </c>
      <c r="I31" s="18">
        <v>1000</v>
      </c>
      <c r="J31" s="18">
        <v>5000</v>
      </c>
      <c r="K31" s="35"/>
      <c r="L31" s="36">
        <f>ROUND((268+299+316)/3,0)</f>
        <v>294</v>
      </c>
      <c r="M31" s="35">
        <v>0.4</v>
      </c>
      <c r="N31" s="36">
        <f t="shared" si="0"/>
        <v>118</v>
      </c>
      <c r="O31" s="37"/>
      <c r="P31" s="38" t="s">
        <v>59</v>
      </c>
    </row>
    <row r="32" spans="1:16" s="2" customFormat="1" ht="18" customHeight="1">
      <c r="A32" s="18">
        <v>30</v>
      </c>
      <c r="B32" s="19">
        <v>47</v>
      </c>
      <c r="C32" s="20" t="s">
        <v>292</v>
      </c>
      <c r="D32" s="18" t="s">
        <v>100</v>
      </c>
      <c r="E32" s="18">
        <v>1</v>
      </c>
      <c r="F32" s="18" t="s">
        <v>234</v>
      </c>
      <c r="G32" s="20" t="s">
        <v>293</v>
      </c>
      <c r="H32" s="18">
        <v>300</v>
      </c>
      <c r="I32" s="18">
        <v>7500</v>
      </c>
      <c r="J32" s="18">
        <v>3000</v>
      </c>
      <c r="K32" s="35"/>
      <c r="L32" s="36">
        <f>ROUND((268+299+316)/3,0)</f>
        <v>294</v>
      </c>
      <c r="M32" s="35">
        <v>0.5</v>
      </c>
      <c r="N32" s="36">
        <f t="shared" si="0"/>
        <v>147</v>
      </c>
      <c r="O32" s="37"/>
      <c r="P32" s="38" t="s">
        <v>59</v>
      </c>
    </row>
    <row r="33" spans="1:16" s="2" customFormat="1" ht="18" customHeight="1">
      <c r="A33" s="18">
        <v>31</v>
      </c>
      <c r="B33" s="19">
        <v>48</v>
      </c>
      <c r="C33" s="20" t="s">
        <v>294</v>
      </c>
      <c r="D33" s="18" t="s">
        <v>100</v>
      </c>
      <c r="E33" s="18">
        <v>1</v>
      </c>
      <c r="F33" s="18" t="s">
        <v>260</v>
      </c>
      <c r="G33" s="20" t="s">
        <v>295</v>
      </c>
      <c r="H33" s="18">
        <v>100</v>
      </c>
      <c r="I33" s="18">
        <v>2000</v>
      </c>
      <c r="J33" s="18">
        <v>3000</v>
      </c>
      <c r="K33" s="35"/>
      <c r="L33" s="36">
        <f>L32</f>
        <v>294</v>
      </c>
      <c r="M33" s="35">
        <v>0.4</v>
      </c>
      <c r="N33" s="36">
        <f t="shared" si="0"/>
        <v>118</v>
      </c>
      <c r="O33" s="37"/>
      <c r="P33" s="38" t="s">
        <v>59</v>
      </c>
    </row>
    <row r="34" spans="1:16" s="2" customFormat="1" ht="18" customHeight="1">
      <c r="A34" s="18">
        <v>32</v>
      </c>
      <c r="B34" s="19">
        <v>49</v>
      </c>
      <c r="C34" s="20" t="s">
        <v>296</v>
      </c>
      <c r="D34" s="18" t="s">
        <v>100</v>
      </c>
      <c r="E34" s="18">
        <v>1</v>
      </c>
      <c r="F34" s="18" t="s">
        <v>297</v>
      </c>
      <c r="G34" s="20" t="s">
        <v>298</v>
      </c>
      <c r="H34" s="18">
        <v>200</v>
      </c>
      <c r="I34" s="18">
        <v>500</v>
      </c>
      <c r="J34" s="18">
        <v>1000</v>
      </c>
      <c r="K34" s="35"/>
      <c r="L34" s="36">
        <f>L51</f>
        <v>170</v>
      </c>
      <c r="M34" s="35">
        <v>0.4</v>
      </c>
      <c r="N34" s="36">
        <f t="shared" si="0"/>
        <v>68</v>
      </c>
      <c r="O34" s="37"/>
      <c r="P34" s="38" t="s">
        <v>59</v>
      </c>
    </row>
    <row r="35" spans="1:16" s="2" customFormat="1" ht="18" customHeight="1">
      <c r="A35" s="18">
        <v>33</v>
      </c>
      <c r="B35" s="19">
        <v>50</v>
      </c>
      <c r="C35" s="20" t="s">
        <v>299</v>
      </c>
      <c r="D35" s="18" t="s">
        <v>100</v>
      </c>
      <c r="E35" s="18">
        <v>1</v>
      </c>
      <c r="F35" s="18" t="s">
        <v>234</v>
      </c>
      <c r="G35" s="20" t="s">
        <v>300</v>
      </c>
      <c r="H35" s="18">
        <v>500</v>
      </c>
      <c r="I35" s="18">
        <v>1000</v>
      </c>
      <c r="J35" s="18">
        <v>3000</v>
      </c>
      <c r="K35" s="35"/>
      <c r="L35" s="36">
        <f>L31</f>
        <v>294</v>
      </c>
      <c r="M35" s="35">
        <v>0.4</v>
      </c>
      <c r="N35" s="36">
        <f t="shared" si="0"/>
        <v>118</v>
      </c>
      <c r="O35" s="37"/>
      <c r="P35" s="38" t="s">
        <v>59</v>
      </c>
    </row>
    <row r="36" spans="1:16" s="2" customFormat="1" ht="18" customHeight="1">
      <c r="A36" s="18">
        <v>34</v>
      </c>
      <c r="B36" s="19">
        <v>51</v>
      </c>
      <c r="C36" s="20" t="s">
        <v>301</v>
      </c>
      <c r="D36" s="18" t="s">
        <v>100</v>
      </c>
      <c r="E36" s="18">
        <v>1</v>
      </c>
      <c r="F36" s="22" t="s">
        <v>302</v>
      </c>
      <c r="G36" s="20" t="s">
        <v>303</v>
      </c>
      <c r="H36" s="18">
        <v>200</v>
      </c>
      <c r="I36" s="18">
        <v>1000</v>
      </c>
      <c r="J36" s="18">
        <v>5000</v>
      </c>
      <c r="K36" s="35"/>
      <c r="L36" s="36">
        <f>L31</f>
        <v>294</v>
      </c>
      <c r="M36" s="35">
        <v>0.4</v>
      </c>
      <c r="N36" s="36">
        <f t="shared" si="0"/>
        <v>118</v>
      </c>
      <c r="O36" s="37"/>
      <c r="P36" s="38" t="s">
        <v>59</v>
      </c>
    </row>
    <row r="37" spans="1:16" s="2" customFormat="1" ht="18" customHeight="1">
      <c r="A37" s="18">
        <v>35</v>
      </c>
      <c r="B37" s="19">
        <v>53</v>
      </c>
      <c r="C37" s="23" t="s">
        <v>304</v>
      </c>
      <c r="D37" s="18" t="s">
        <v>100</v>
      </c>
      <c r="E37" s="18">
        <v>1</v>
      </c>
      <c r="F37" s="18" t="s">
        <v>234</v>
      </c>
      <c r="G37" s="20" t="s">
        <v>305</v>
      </c>
      <c r="H37" s="18">
        <v>100</v>
      </c>
      <c r="I37" s="18">
        <v>1000</v>
      </c>
      <c r="J37" s="18">
        <v>1000</v>
      </c>
      <c r="K37" s="35"/>
      <c r="L37" s="36">
        <f>L34</f>
        <v>170</v>
      </c>
      <c r="M37" s="35">
        <v>0.4</v>
      </c>
      <c r="N37" s="36">
        <f t="shared" si="0"/>
        <v>68</v>
      </c>
      <c r="O37" s="37"/>
      <c r="P37" s="38" t="s">
        <v>59</v>
      </c>
    </row>
    <row r="38" spans="1:16" s="2" customFormat="1" ht="18" customHeight="1">
      <c r="A38" s="18">
        <v>36</v>
      </c>
      <c r="B38" s="19">
        <v>54</v>
      </c>
      <c r="C38" s="20" t="s">
        <v>306</v>
      </c>
      <c r="D38" s="18" t="s">
        <v>100</v>
      </c>
      <c r="E38" s="18">
        <v>1</v>
      </c>
      <c r="F38" s="18" t="s">
        <v>307</v>
      </c>
      <c r="G38" s="20" t="s">
        <v>308</v>
      </c>
      <c r="H38" s="18">
        <v>100</v>
      </c>
      <c r="I38" s="18">
        <v>20000</v>
      </c>
      <c r="J38" s="18">
        <v>18000</v>
      </c>
      <c r="K38" s="35"/>
      <c r="L38" s="36">
        <v>20000</v>
      </c>
      <c r="M38" s="35">
        <v>0.7</v>
      </c>
      <c r="N38" s="36">
        <f t="shared" si="0"/>
        <v>14000</v>
      </c>
      <c r="O38" s="37"/>
      <c r="P38" s="38" t="s">
        <v>59</v>
      </c>
    </row>
    <row r="39" spans="1:16" s="2" customFormat="1" ht="18" customHeight="1">
      <c r="A39" s="18">
        <v>37</v>
      </c>
      <c r="B39" s="19">
        <v>55</v>
      </c>
      <c r="C39" s="20" t="s">
        <v>309</v>
      </c>
      <c r="D39" s="18" t="s">
        <v>100</v>
      </c>
      <c r="E39" s="18">
        <v>1</v>
      </c>
      <c r="F39" s="18" t="s">
        <v>297</v>
      </c>
      <c r="G39" s="20" t="s">
        <v>310</v>
      </c>
      <c r="H39" s="18">
        <v>200</v>
      </c>
      <c r="I39" s="18">
        <v>800</v>
      </c>
      <c r="J39" s="18">
        <v>1800</v>
      </c>
      <c r="K39" s="35"/>
      <c r="L39" s="36">
        <f>L51</f>
        <v>170</v>
      </c>
      <c r="M39" s="35">
        <v>0.4</v>
      </c>
      <c r="N39" s="36">
        <f t="shared" si="0"/>
        <v>68</v>
      </c>
      <c r="O39" s="37"/>
      <c r="P39" s="38" t="s">
        <v>59</v>
      </c>
    </row>
    <row r="40" spans="1:16" s="2" customFormat="1" ht="18" customHeight="1">
      <c r="A40" s="18">
        <v>38</v>
      </c>
      <c r="B40" s="19">
        <v>59</v>
      </c>
      <c r="C40" s="20" t="s">
        <v>226</v>
      </c>
      <c r="D40" s="18" t="s">
        <v>100</v>
      </c>
      <c r="E40" s="18">
        <v>1</v>
      </c>
      <c r="F40" s="18" t="s">
        <v>234</v>
      </c>
      <c r="G40" s="20" t="s">
        <v>311</v>
      </c>
      <c r="H40" s="18">
        <v>500</v>
      </c>
      <c r="I40" s="18">
        <v>250</v>
      </c>
      <c r="J40" s="18">
        <v>1000</v>
      </c>
      <c r="K40" s="35"/>
      <c r="L40" s="36">
        <f>L52</f>
        <v>294</v>
      </c>
      <c r="M40" s="35">
        <v>0.4</v>
      </c>
      <c r="N40" s="36">
        <f t="shared" si="0"/>
        <v>118</v>
      </c>
      <c r="O40" s="37"/>
      <c r="P40" s="38" t="s">
        <v>59</v>
      </c>
    </row>
    <row r="41" spans="1:16" s="2" customFormat="1" ht="18" customHeight="1">
      <c r="A41" s="18">
        <v>39</v>
      </c>
      <c r="B41" s="19">
        <v>60</v>
      </c>
      <c r="C41" s="20" t="s">
        <v>312</v>
      </c>
      <c r="D41" s="18" t="s">
        <v>100</v>
      </c>
      <c r="E41" s="18">
        <v>1</v>
      </c>
      <c r="F41" s="18" t="s">
        <v>234</v>
      </c>
      <c r="G41" s="20" t="s">
        <v>313</v>
      </c>
      <c r="H41" s="18">
        <v>500</v>
      </c>
      <c r="I41" s="18">
        <v>500</v>
      </c>
      <c r="J41" s="18">
        <v>2000</v>
      </c>
      <c r="K41" s="35"/>
      <c r="L41" s="36">
        <f>L39</f>
        <v>170</v>
      </c>
      <c r="M41" s="35">
        <v>0.5</v>
      </c>
      <c r="N41" s="36">
        <f t="shared" si="0"/>
        <v>85</v>
      </c>
      <c r="O41" s="37"/>
      <c r="P41" s="38" t="s">
        <v>59</v>
      </c>
    </row>
    <row r="42" spans="1:16" s="2" customFormat="1" ht="18" customHeight="1">
      <c r="A42" s="18">
        <v>40</v>
      </c>
      <c r="B42" s="19">
        <v>61</v>
      </c>
      <c r="C42" s="20" t="s">
        <v>314</v>
      </c>
      <c r="D42" s="18" t="s">
        <v>100</v>
      </c>
      <c r="E42" s="18">
        <v>1</v>
      </c>
      <c r="F42" s="18" t="s">
        <v>263</v>
      </c>
      <c r="G42" s="20" t="s">
        <v>315</v>
      </c>
      <c r="H42" s="18">
        <v>5500</v>
      </c>
      <c r="I42" s="18">
        <v>5000</v>
      </c>
      <c r="J42" s="18">
        <v>12000</v>
      </c>
      <c r="K42" s="35"/>
      <c r="L42" s="36">
        <f>ROUND((3450+3880+3403)/3,0)</f>
        <v>3578</v>
      </c>
      <c r="M42" s="35">
        <v>0.5</v>
      </c>
      <c r="N42" s="36">
        <f t="shared" si="0"/>
        <v>1789</v>
      </c>
      <c r="O42" s="37"/>
      <c r="P42" s="38" t="s">
        <v>17</v>
      </c>
    </row>
    <row r="43" spans="1:16" s="2" customFormat="1" ht="18" customHeight="1">
      <c r="A43" s="18">
        <v>41</v>
      </c>
      <c r="B43" s="19">
        <v>66</v>
      </c>
      <c r="C43" s="20" t="s">
        <v>316</v>
      </c>
      <c r="D43" s="18" t="s">
        <v>254</v>
      </c>
      <c r="E43" s="18">
        <v>1</v>
      </c>
      <c r="F43" s="18" t="s">
        <v>297</v>
      </c>
      <c r="G43" s="20" t="s">
        <v>317</v>
      </c>
      <c r="H43" s="18">
        <v>400</v>
      </c>
      <c r="I43" s="18">
        <v>200</v>
      </c>
      <c r="J43" s="18">
        <v>2000</v>
      </c>
      <c r="K43" s="35"/>
      <c r="L43" s="36">
        <f>ROUND((264+328+366+298)/4*2,0)</f>
        <v>628</v>
      </c>
      <c r="M43" s="35">
        <v>0.5</v>
      </c>
      <c r="N43" s="36">
        <f t="shared" si="0"/>
        <v>314</v>
      </c>
      <c r="O43" s="37"/>
      <c r="P43" s="38" t="s">
        <v>17</v>
      </c>
    </row>
    <row r="44" spans="1:16" s="2" customFormat="1" ht="18" customHeight="1">
      <c r="A44" s="18">
        <v>42</v>
      </c>
      <c r="B44" s="19">
        <v>86</v>
      </c>
      <c r="C44" s="20" t="s">
        <v>318</v>
      </c>
      <c r="D44" s="18" t="s">
        <v>100</v>
      </c>
      <c r="E44" s="18">
        <v>1</v>
      </c>
      <c r="F44" s="18" t="s">
        <v>234</v>
      </c>
      <c r="G44" s="20"/>
      <c r="H44" s="18">
        <v>2000</v>
      </c>
      <c r="I44" s="18">
        <v>600</v>
      </c>
      <c r="J44" s="18">
        <v>3000</v>
      </c>
      <c r="K44" s="35"/>
      <c r="L44" s="36">
        <f>ROUND((264+328+366+298)/4,0)</f>
        <v>314</v>
      </c>
      <c r="M44" s="35">
        <v>0.6</v>
      </c>
      <c r="N44" s="36">
        <f t="shared" si="0"/>
        <v>188</v>
      </c>
      <c r="O44" s="37"/>
      <c r="P44" s="38" t="s">
        <v>17</v>
      </c>
    </row>
    <row r="45" spans="1:16" s="2" customFormat="1" ht="18" customHeight="1">
      <c r="A45" s="18">
        <v>43</v>
      </c>
      <c r="B45" s="19">
        <v>87</v>
      </c>
      <c r="C45" s="20" t="s">
        <v>319</v>
      </c>
      <c r="D45" s="18" t="s">
        <v>100</v>
      </c>
      <c r="E45" s="18">
        <v>1</v>
      </c>
      <c r="F45" s="18" t="s">
        <v>234</v>
      </c>
      <c r="G45" s="20"/>
      <c r="H45" s="18">
        <v>3500</v>
      </c>
      <c r="I45" s="18">
        <v>3000</v>
      </c>
      <c r="J45" s="18">
        <v>4000</v>
      </c>
      <c r="K45" s="35"/>
      <c r="L45" s="36">
        <f>L43</f>
        <v>628</v>
      </c>
      <c r="M45" s="35">
        <v>0.8</v>
      </c>
      <c r="N45" s="36">
        <f t="shared" si="0"/>
        <v>502</v>
      </c>
      <c r="O45" s="37"/>
      <c r="P45" s="38" t="s">
        <v>17</v>
      </c>
    </row>
    <row r="46" spans="1:16" s="2" customFormat="1" ht="18" customHeight="1">
      <c r="A46" s="18">
        <v>44</v>
      </c>
      <c r="B46" s="19">
        <v>88</v>
      </c>
      <c r="C46" s="20" t="s">
        <v>320</v>
      </c>
      <c r="D46" s="18" t="s">
        <v>55</v>
      </c>
      <c r="E46" s="18">
        <v>1</v>
      </c>
      <c r="F46" s="18" t="s">
        <v>234</v>
      </c>
      <c r="G46" s="20"/>
      <c r="H46" s="18">
        <v>500</v>
      </c>
      <c r="I46" s="18">
        <v>200</v>
      </c>
      <c r="J46" s="18">
        <v>1600</v>
      </c>
      <c r="K46" s="35"/>
      <c r="L46" s="36">
        <f>ROUND((428+428+394.4)/3,0)</f>
        <v>417</v>
      </c>
      <c r="M46" s="35">
        <v>0.5</v>
      </c>
      <c r="N46" s="36">
        <f t="shared" si="0"/>
        <v>209</v>
      </c>
      <c r="O46" s="37"/>
      <c r="P46" s="38" t="s">
        <v>17</v>
      </c>
    </row>
    <row r="47" spans="1:16" s="2" customFormat="1" ht="18" customHeight="1">
      <c r="A47" s="18">
        <v>45</v>
      </c>
      <c r="B47" s="19">
        <v>89</v>
      </c>
      <c r="C47" s="20" t="s">
        <v>321</v>
      </c>
      <c r="D47" s="18" t="s">
        <v>100</v>
      </c>
      <c r="E47" s="18">
        <v>1</v>
      </c>
      <c r="F47" s="18" t="s">
        <v>234</v>
      </c>
      <c r="G47" s="20"/>
      <c r="H47" s="18">
        <v>5000</v>
      </c>
      <c r="I47" s="18">
        <v>5000</v>
      </c>
      <c r="J47" s="18">
        <v>6000</v>
      </c>
      <c r="K47" s="35"/>
      <c r="L47" s="36">
        <f>ROUND((680+684+620)/3,0)</f>
        <v>661</v>
      </c>
      <c r="M47" s="35">
        <v>0.9</v>
      </c>
      <c r="N47" s="36">
        <f t="shared" si="0"/>
        <v>595</v>
      </c>
      <c r="O47" s="37"/>
      <c r="P47" s="38" t="s">
        <v>17</v>
      </c>
    </row>
    <row r="48" spans="1:16" s="2" customFormat="1" ht="18" customHeight="1">
      <c r="A48" s="18">
        <v>46</v>
      </c>
      <c r="B48" s="19">
        <v>90</v>
      </c>
      <c r="C48" s="20" t="s">
        <v>319</v>
      </c>
      <c r="D48" s="18" t="s">
        <v>100</v>
      </c>
      <c r="E48" s="18">
        <v>1</v>
      </c>
      <c r="F48" s="18" t="s">
        <v>234</v>
      </c>
      <c r="G48" s="20"/>
      <c r="H48" s="18">
        <v>6000</v>
      </c>
      <c r="I48" s="18">
        <v>3000</v>
      </c>
      <c r="J48" s="18">
        <v>4000</v>
      </c>
      <c r="K48" s="35"/>
      <c r="L48" s="36">
        <f>L43</f>
        <v>628</v>
      </c>
      <c r="M48" s="35">
        <v>0.8</v>
      </c>
      <c r="N48" s="36">
        <f t="shared" si="0"/>
        <v>502</v>
      </c>
      <c r="O48" s="37"/>
      <c r="P48" s="38" t="s">
        <v>17</v>
      </c>
    </row>
    <row r="49" spans="1:16" s="2" customFormat="1" ht="18" customHeight="1">
      <c r="A49" s="18">
        <v>47</v>
      </c>
      <c r="B49" s="19">
        <v>91</v>
      </c>
      <c r="C49" s="20" t="s">
        <v>322</v>
      </c>
      <c r="D49" s="18" t="s">
        <v>100</v>
      </c>
      <c r="E49" s="18">
        <v>1</v>
      </c>
      <c r="F49" s="18" t="s">
        <v>83</v>
      </c>
      <c r="G49" s="20"/>
      <c r="H49" s="18">
        <v>200</v>
      </c>
      <c r="I49" s="18"/>
      <c r="J49" s="18">
        <v>100</v>
      </c>
      <c r="K49" s="35"/>
      <c r="L49" s="36">
        <f>ROUND((40+55+48)/3,0)</f>
        <v>48</v>
      </c>
      <c r="M49" s="35">
        <v>0.4</v>
      </c>
      <c r="N49" s="36">
        <f t="shared" si="0"/>
        <v>19</v>
      </c>
      <c r="O49" s="37" t="s">
        <v>323</v>
      </c>
      <c r="P49" s="38" t="s">
        <v>17</v>
      </c>
    </row>
    <row r="50" spans="1:16" s="2" customFormat="1" ht="18" customHeight="1">
      <c r="A50" s="18">
        <v>48</v>
      </c>
      <c r="B50" s="19">
        <v>92</v>
      </c>
      <c r="C50" s="20" t="s">
        <v>324</v>
      </c>
      <c r="D50" s="18" t="s">
        <v>100</v>
      </c>
      <c r="E50" s="18">
        <v>1</v>
      </c>
      <c r="F50" s="18" t="s">
        <v>231</v>
      </c>
      <c r="G50" s="20" t="s">
        <v>325</v>
      </c>
      <c r="H50" s="18">
        <v>300</v>
      </c>
      <c r="I50" s="18">
        <v>1000</v>
      </c>
      <c r="J50" s="18">
        <v>2000</v>
      </c>
      <c r="K50" s="35"/>
      <c r="L50" s="36">
        <f>ROUND((268+299+316)/3,0)</f>
        <v>294</v>
      </c>
      <c r="M50" s="35">
        <v>0.4</v>
      </c>
      <c r="N50" s="36">
        <f t="shared" si="0"/>
        <v>118</v>
      </c>
      <c r="O50" s="37"/>
      <c r="P50" s="38" t="s">
        <v>17</v>
      </c>
    </row>
    <row r="51" spans="1:16" s="2" customFormat="1" ht="18" customHeight="1">
      <c r="A51" s="18">
        <v>49</v>
      </c>
      <c r="B51" s="19">
        <v>93</v>
      </c>
      <c r="C51" s="20" t="s">
        <v>289</v>
      </c>
      <c r="D51" s="18" t="s">
        <v>100</v>
      </c>
      <c r="E51" s="18">
        <v>1</v>
      </c>
      <c r="F51" s="18" t="s">
        <v>234</v>
      </c>
      <c r="G51" s="20"/>
      <c r="H51" s="18">
        <v>300</v>
      </c>
      <c r="I51" s="18">
        <v>1000</v>
      </c>
      <c r="J51" s="18">
        <v>2000</v>
      </c>
      <c r="K51" s="35"/>
      <c r="L51" s="36">
        <f>ROUND((153+168+178+179.1)/4,0)</f>
        <v>170</v>
      </c>
      <c r="M51" s="35">
        <v>0.4</v>
      </c>
      <c r="N51" s="36">
        <f t="shared" si="0"/>
        <v>68</v>
      </c>
      <c r="O51" s="37"/>
      <c r="P51" s="38" t="s">
        <v>17</v>
      </c>
    </row>
    <row r="52" spans="1:16" s="2" customFormat="1" ht="18" customHeight="1">
      <c r="A52" s="18">
        <v>50</v>
      </c>
      <c r="B52" s="19">
        <v>94</v>
      </c>
      <c r="C52" s="20" t="s">
        <v>289</v>
      </c>
      <c r="D52" s="18" t="s">
        <v>100</v>
      </c>
      <c r="E52" s="18">
        <v>1</v>
      </c>
      <c r="F52" s="18" t="s">
        <v>234</v>
      </c>
      <c r="G52" s="20" t="s">
        <v>326</v>
      </c>
      <c r="H52" s="18">
        <v>300</v>
      </c>
      <c r="I52" s="18">
        <v>200</v>
      </c>
      <c r="J52" s="18">
        <v>2000</v>
      </c>
      <c r="K52" s="35"/>
      <c r="L52" s="36">
        <f>ROUND((268+299+316)/3,0)</f>
        <v>294</v>
      </c>
      <c r="M52" s="35">
        <v>0.4</v>
      </c>
      <c r="N52" s="36">
        <f t="shared" si="0"/>
        <v>118</v>
      </c>
      <c r="O52" s="37"/>
      <c r="P52" s="38" t="s">
        <v>17</v>
      </c>
    </row>
    <row r="53" spans="1:16" s="2" customFormat="1" ht="18" customHeight="1">
      <c r="A53" s="18">
        <v>51</v>
      </c>
      <c r="B53" s="19">
        <v>95</v>
      </c>
      <c r="C53" s="20" t="s">
        <v>289</v>
      </c>
      <c r="D53" s="18" t="s">
        <v>100</v>
      </c>
      <c r="E53" s="18">
        <v>1</v>
      </c>
      <c r="F53" s="18" t="s">
        <v>234</v>
      </c>
      <c r="G53" s="20" t="s">
        <v>327</v>
      </c>
      <c r="H53" s="18">
        <v>500</v>
      </c>
      <c r="I53" s="18">
        <v>3000</v>
      </c>
      <c r="J53" s="18">
        <v>3500</v>
      </c>
      <c r="K53" s="35"/>
      <c r="L53" s="36">
        <f>ROUND((268+299+316)*1.3/3,0)</f>
        <v>383</v>
      </c>
      <c r="M53" s="35">
        <v>0.4</v>
      </c>
      <c r="N53" s="36">
        <f t="shared" si="0"/>
        <v>153</v>
      </c>
      <c r="O53" s="37"/>
      <c r="P53" s="38" t="s">
        <v>17</v>
      </c>
    </row>
    <row r="54" spans="1:16" s="2" customFormat="1" ht="18" customHeight="1">
      <c r="A54" s="18">
        <v>52</v>
      </c>
      <c r="B54" s="19">
        <v>96</v>
      </c>
      <c r="C54" s="20" t="s">
        <v>328</v>
      </c>
      <c r="D54" s="18" t="s">
        <v>100</v>
      </c>
      <c r="E54" s="18">
        <v>1</v>
      </c>
      <c r="F54" s="18" t="s">
        <v>234</v>
      </c>
      <c r="G54" s="20"/>
      <c r="H54" s="18">
        <v>1000</v>
      </c>
      <c r="I54" s="18">
        <v>2000</v>
      </c>
      <c r="J54" s="18">
        <v>2500</v>
      </c>
      <c r="K54" s="35"/>
      <c r="L54" s="36">
        <f>ROUND((268+299+316)*1.3/3,0)</f>
        <v>383</v>
      </c>
      <c r="M54" s="35">
        <v>0.6</v>
      </c>
      <c r="N54" s="36">
        <f t="shared" si="0"/>
        <v>230</v>
      </c>
      <c r="O54" s="37"/>
      <c r="P54" s="38" t="s">
        <v>17</v>
      </c>
    </row>
    <row r="55" spans="1:16" s="2" customFormat="1" ht="18" customHeight="1">
      <c r="A55" s="18">
        <v>53</v>
      </c>
      <c r="B55" s="19">
        <v>97</v>
      </c>
      <c r="C55" s="20" t="s">
        <v>329</v>
      </c>
      <c r="D55" s="18" t="s">
        <v>100</v>
      </c>
      <c r="E55" s="18">
        <v>1</v>
      </c>
      <c r="F55" s="18" t="s">
        <v>234</v>
      </c>
      <c r="G55" s="20" t="s">
        <v>330</v>
      </c>
      <c r="H55" s="18">
        <v>1000</v>
      </c>
      <c r="I55" s="18">
        <v>2000</v>
      </c>
      <c r="J55" s="18">
        <v>3000</v>
      </c>
      <c r="K55" s="35"/>
      <c r="L55" s="36">
        <f>ROUND((268+299+316)*1.3/3,0)</f>
        <v>383</v>
      </c>
      <c r="M55" s="35">
        <v>0.6</v>
      </c>
      <c r="N55" s="36">
        <f t="shared" si="0"/>
        <v>230</v>
      </c>
      <c r="O55" s="37"/>
      <c r="P55" s="38" t="s">
        <v>17</v>
      </c>
    </row>
    <row r="56" spans="1:16" s="2" customFormat="1" ht="18" customHeight="1">
      <c r="A56" s="18">
        <v>54</v>
      </c>
      <c r="B56" s="19">
        <v>98</v>
      </c>
      <c r="C56" s="20" t="s">
        <v>331</v>
      </c>
      <c r="D56" s="18" t="s">
        <v>100</v>
      </c>
      <c r="E56" s="18">
        <v>1</v>
      </c>
      <c r="F56" s="18" t="s">
        <v>234</v>
      </c>
      <c r="G56" s="20"/>
      <c r="H56" s="18">
        <v>500</v>
      </c>
      <c r="I56" s="18">
        <v>100</v>
      </c>
      <c r="J56" s="18">
        <v>2000</v>
      </c>
      <c r="K56" s="35"/>
      <c r="L56" s="36">
        <f>ROUND((268+299+316)*1.3/3,0)</f>
        <v>383</v>
      </c>
      <c r="M56" s="35">
        <v>0.4</v>
      </c>
      <c r="N56" s="36">
        <f t="shared" si="0"/>
        <v>153</v>
      </c>
      <c r="O56" s="37"/>
      <c r="P56" s="38" t="s">
        <v>17</v>
      </c>
    </row>
    <row r="57" spans="1:16" s="2" customFormat="1" ht="18" customHeight="1">
      <c r="A57" s="18">
        <v>55</v>
      </c>
      <c r="B57" s="19">
        <v>99</v>
      </c>
      <c r="C57" s="20" t="s">
        <v>332</v>
      </c>
      <c r="D57" s="18" t="s">
        <v>100</v>
      </c>
      <c r="E57" s="18">
        <v>1</v>
      </c>
      <c r="F57" s="18" t="s">
        <v>234</v>
      </c>
      <c r="G57" s="20"/>
      <c r="H57" s="18">
        <v>100</v>
      </c>
      <c r="I57" s="18">
        <v>200</v>
      </c>
      <c r="J57" s="18">
        <v>800</v>
      </c>
      <c r="K57" s="35"/>
      <c r="L57" s="36">
        <f>ROUND((153+168+178+179.1)/4,0)</f>
        <v>170</v>
      </c>
      <c r="M57" s="35">
        <v>0.4</v>
      </c>
      <c r="N57" s="36">
        <f t="shared" si="0"/>
        <v>68</v>
      </c>
      <c r="O57" s="37"/>
      <c r="P57" s="38" t="s">
        <v>17</v>
      </c>
    </row>
    <row r="58" spans="1:16" s="2" customFormat="1" ht="18" customHeight="1">
      <c r="A58" s="18">
        <v>56</v>
      </c>
      <c r="B58" s="19">
        <v>100</v>
      </c>
      <c r="C58" s="20" t="s">
        <v>333</v>
      </c>
      <c r="D58" s="18" t="s">
        <v>100</v>
      </c>
      <c r="E58" s="18">
        <v>1</v>
      </c>
      <c r="F58" s="18" t="s">
        <v>234</v>
      </c>
      <c r="G58" s="20"/>
      <c r="H58" s="18">
        <v>1000</v>
      </c>
      <c r="I58" s="18">
        <v>1000</v>
      </c>
      <c r="J58" s="18">
        <v>3000</v>
      </c>
      <c r="K58" s="35"/>
      <c r="L58" s="36">
        <f aca="true" t="shared" si="1" ref="L58:L65">ROUND((153+168+178+179.1)/4,0)</f>
        <v>170</v>
      </c>
      <c r="M58" s="35">
        <v>0.5</v>
      </c>
      <c r="N58" s="36">
        <f t="shared" si="0"/>
        <v>85</v>
      </c>
      <c r="O58" s="37"/>
      <c r="P58" s="38" t="s">
        <v>17</v>
      </c>
    </row>
    <row r="59" spans="1:16" s="2" customFormat="1" ht="18" customHeight="1">
      <c r="A59" s="18">
        <v>57</v>
      </c>
      <c r="B59" s="19">
        <v>101</v>
      </c>
      <c r="C59" s="20" t="s">
        <v>334</v>
      </c>
      <c r="D59" s="18" t="s">
        <v>100</v>
      </c>
      <c r="E59" s="18">
        <v>1</v>
      </c>
      <c r="F59" s="18" t="s">
        <v>234</v>
      </c>
      <c r="G59" s="20" t="s">
        <v>335</v>
      </c>
      <c r="H59" s="18">
        <v>300</v>
      </c>
      <c r="I59" s="18">
        <v>500</v>
      </c>
      <c r="J59" s="18">
        <v>1500</v>
      </c>
      <c r="K59" s="35"/>
      <c r="L59" s="36">
        <f t="shared" si="1"/>
        <v>170</v>
      </c>
      <c r="M59" s="35">
        <v>0.5</v>
      </c>
      <c r="N59" s="36">
        <f t="shared" si="0"/>
        <v>85</v>
      </c>
      <c r="O59" s="37"/>
      <c r="P59" s="38" t="s">
        <v>17</v>
      </c>
    </row>
    <row r="60" spans="1:16" s="2" customFormat="1" ht="18" customHeight="1">
      <c r="A60" s="18">
        <v>58</v>
      </c>
      <c r="B60" s="19">
        <v>102</v>
      </c>
      <c r="C60" s="20" t="s">
        <v>336</v>
      </c>
      <c r="D60" s="18" t="s">
        <v>100</v>
      </c>
      <c r="E60" s="18">
        <v>1</v>
      </c>
      <c r="F60" s="18" t="s">
        <v>234</v>
      </c>
      <c r="G60" s="20"/>
      <c r="H60" s="18">
        <v>200</v>
      </c>
      <c r="I60" s="18">
        <v>200</v>
      </c>
      <c r="J60" s="18">
        <v>1500</v>
      </c>
      <c r="K60" s="35"/>
      <c r="L60" s="36">
        <f t="shared" si="1"/>
        <v>170</v>
      </c>
      <c r="M60" s="35">
        <v>0.5</v>
      </c>
      <c r="N60" s="36">
        <f t="shared" si="0"/>
        <v>85</v>
      </c>
      <c r="O60" s="37"/>
      <c r="P60" s="38" t="s">
        <v>17</v>
      </c>
    </row>
    <row r="61" spans="1:16" s="2" customFormat="1" ht="18" customHeight="1">
      <c r="A61" s="18">
        <v>59</v>
      </c>
      <c r="B61" s="19">
        <v>103</v>
      </c>
      <c r="C61" s="20" t="s">
        <v>334</v>
      </c>
      <c r="D61" s="18" t="s">
        <v>100</v>
      </c>
      <c r="E61" s="18">
        <v>1</v>
      </c>
      <c r="F61" s="18" t="s">
        <v>234</v>
      </c>
      <c r="G61" s="20" t="s">
        <v>335</v>
      </c>
      <c r="H61" s="18">
        <v>400</v>
      </c>
      <c r="I61" s="18">
        <v>500</v>
      </c>
      <c r="J61" s="18">
        <v>2000</v>
      </c>
      <c r="K61" s="35"/>
      <c r="L61" s="36">
        <f t="shared" si="1"/>
        <v>170</v>
      </c>
      <c r="M61" s="35">
        <v>0.5</v>
      </c>
      <c r="N61" s="36">
        <f t="shared" si="0"/>
        <v>85</v>
      </c>
      <c r="O61" s="37"/>
      <c r="P61" s="38" t="s">
        <v>17</v>
      </c>
    </row>
    <row r="62" spans="1:16" s="2" customFormat="1" ht="18" customHeight="1">
      <c r="A62" s="18">
        <v>60</v>
      </c>
      <c r="B62" s="19">
        <v>104</v>
      </c>
      <c r="C62" s="20" t="s">
        <v>337</v>
      </c>
      <c r="D62" s="18" t="s">
        <v>100</v>
      </c>
      <c r="E62" s="18">
        <v>1</v>
      </c>
      <c r="F62" s="18" t="s">
        <v>234</v>
      </c>
      <c r="G62" s="20" t="s">
        <v>335</v>
      </c>
      <c r="H62" s="18">
        <v>500</v>
      </c>
      <c r="I62" s="18">
        <v>500</v>
      </c>
      <c r="J62" s="18">
        <v>2500</v>
      </c>
      <c r="K62" s="35"/>
      <c r="L62" s="36">
        <f t="shared" si="1"/>
        <v>170</v>
      </c>
      <c r="M62" s="35">
        <v>0.5</v>
      </c>
      <c r="N62" s="36">
        <f t="shared" si="0"/>
        <v>85</v>
      </c>
      <c r="O62" s="37"/>
      <c r="P62" s="38" t="s">
        <v>17</v>
      </c>
    </row>
    <row r="63" spans="1:16" s="2" customFormat="1" ht="18" customHeight="1">
      <c r="A63" s="18">
        <v>61</v>
      </c>
      <c r="B63" s="19">
        <v>105</v>
      </c>
      <c r="C63" s="20" t="s">
        <v>338</v>
      </c>
      <c r="D63" s="18" t="s">
        <v>100</v>
      </c>
      <c r="E63" s="18">
        <v>1</v>
      </c>
      <c r="F63" s="18" t="s">
        <v>234</v>
      </c>
      <c r="G63" s="20"/>
      <c r="H63" s="18">
        <v>350</v>
      </c>
      <c r="I63" s="18">
        <v>1000</v>
      </c>
      <c r="J63" s="18">
        <v>2800</v>
      </c>
      <c r="K63" s="35"/>
      <c r="L63" s="36">
        <f t="shared" si="1"/>
        <v>170</v>
      </c>
      <c r="M63" s="35">
        <v>0.5</v>
      </c>
      <c r="N63" s="36">
        <f t="shared" si="0"/>
        <v>85</v>
      </c>
      <c r="O63" s="37"/>
      <c r="P63" s="38" t="s">
        <v>17</v>
      </c>
    </row>
    <row r="64" spans="1:16" s="2" customFormat="1" ht="18" customHeight="1">
      <c r="A64" s="18">
        <v>62</v>
      </c>
      <c r="B64" s="19">
        <v>106</v>
      </c>
      <c r="C64" s="20" t="s">
        <v>339</v>
      </c>
      <c r="D64" s="18" t="s">
        <v>100</v>
      </c>
      <c r="E64" s="18">
        <v>1</v>
      </c>
      <c r="F64" s="18" t="s">
        <v>234</v>
      </c>
      <c r="G64" s="20"/>
      <c r="H64" s="18">
        <v>300</v>
      </c>
      <c r="I64" s="18">
        <v>250</v>
      </c>
      <c r="J64" s="18">
        <v>1500</v>
      </c>
      <c r="K64" s="35"/>
      <c r="L64" s="36">
        <f t="shared" si="1"/>
        <v>170</v>
      </c>
      <c r="M64" s="35">
        <v>0.5</v>
      </c>
      <c r="N64" s="36">
        <f t="shared" si="0"/>
        <v>85</v>
      </c>
      <c r="O64" s="37"/>
      <c r="P64" s="38" t="s">
        <v>17</v>
      </c>
    </row>
    <row r="65" spans="1:16" s="2" customFormat="1" ht="18" customHeight="1">
      <c r="A65" s="18">
        <v>63</v>
      </c>
      <c r="B65" s="19">
        <v>107</v>
      </c>
      <c r="C65" s="20" t="s">
        <v>289</v>
      </c>
      <c r="D65" s="18" t="s">
        <v>100</v>
      </c>
      <c r="E65" s="18">
        <v>1</v>
      </c>
      <c r="F65" s="18" t="s">
        <v>234</v>
      </c>
      <c r="G65" s="20"/>
      <c r="H65" s="18">
        <v>200</v>
      </c>
      <c r="I65" s="18">
        <v>200</v>
      </c>
      <c r="J65" s="18">
        <v>1000</v>
      </c>
      <c r="K65" s="35"/>
      <c r="L65" s="36">
        <f t="shared" si="1"/>
        <v>170</v>
      </c>
      <c r="M65" s="35">
        <v>0.4</v>
      </c>
      <c r="N65" s="36">
        <f t="shared" si="0"/>
        <v>68</v>
      </c>
      <c r="O65" s="37"/>
      <c r="P65" s="38" t="s">
        <v>17</v>
      </c>
    </row>
    <row r="66" spans="1:16" s="2" customFormat="1" ht="18" customHeight="1">
      <c r="A66" s="18">
        <v>64</v>
      </c>
      <c r="B66" s="19">
        <v>108</v>
      </c>
      <c r="C66" s="20" t="s">
        <v>340</v>
      </c>
      <c r="D66" s="18" t="s">
        <v>100</v>
      </c>
      <c r="E66" s="18">
        <v>1</v>
      </c>
      <c r="F66" s="18" t="s">
        <v>234</v>
      </c>
      <c r="G66" s="20"/>
      <c r="H66" s="18">
        <v>300</v>
      </c>
      <c r="I66" s="18">
        <v>2000</v>
      </c>
      <c r="J66" s="18">
        <v>2500</v>
      </c>
      <c r="K66" s="35"/>
      <c r="L66" s="36">
        <f>L74</f>
        <v>294</v>
      </c>
      <c r="M66" s="35">
        <v>0.6</v>
      </c>
      <c r="N66" s="36">
        <f t="shared" si="0"/>
        <v>176</v>
      </c>
      <c r="O66" s="37"/>
      <c r="P66" s="38" t="s">
        <v>17</v>
      </c>
    </row>
    <row r="67" spans="1:16" s="2" customFormat="1" ht="18" customHeight="1">
      <c r="A67" s="18">
        <v>65</v>
      </c>
      <c r="B67" s="19">
        <v>109</v>
      </c>
      <c r="C67" s="20" t="s">
        <v>341</v>
      </c>
      <c r="D67" s="18" t="s">
        <v>100</v>
      </c>
      <c r="E67" s="18">
        <v>1</v>
      </c>
      <c r="F67" s="18" t="s">
        <v>234</v>
      </c>
      <c r="G67" s="20"/>
      <c r="H67" s="18">
        <v>200</v>
      </c>
      <c r="I67" s="18">
        <v>200</v>
      </c>
      <c r="J67" s="18">
        <v>800</v>
      </c>
      <c r="K67" s="35"/>
      <c r="L67" s="36">
        <f aca="true" t="shared" si="2" ref="L67:L73">ROUND((153+168+178+179.1)/4,0)</f>
        <v>170</v>
      </c>
      <c r="M67" s="35">
        <v>0.5</v>
      </c>
      <c r="N67" s="36">
        <f t="shared" si="0"/>
        <v>85</v>
      </c>
      <c r="O67" s="37"/>
      <c r="P67" s="38" t="s">
        <v>17</v>
      </c>
    </row>
    <row r="68" spans="1:16" s="2" customFormat="1" ht="18" customHeight="1">
      <c r="A68" s="18">
        <v>66</v>
      </c>
      <c r="B68" s="19">
        <v>110</v>
      </c>
      <c r="C68" s="20" t="s">
        <v>342</v>
      </c>
      <c r="D68" s="18" t="s">
        <v>100</v>
      </c>
      <c r="E68" s="18">
        <v>1</v>
      </c>
      <c r="F68" s="18" t="s">
        <v>234</v>
      </c>
      <c r="G68" s="20"/>
      <c r="H68" s="18">
        <v>300</v>
      </c>
      <c r="I68" s="18">
        <v>600</v>
      </c>
      <c r="J68" s="18">
        <v>1500</v>
      </c>
      <c r="K68" s="35"/>
      <c r="L68" s="36">
        <f t="shared" si="2"/>
        <v>170</v>
      </c>
      <c r="M68" s="35">
        <v>0.6</v>
      </c>
      <c r="N68" s="36">
        <f aca="true" t="shared" si="3" ref="N68:N131">ROUND(L68*M68,0)</f>
        <v>102</v>
      </c>
      <c r="O68" s="37"/>
      <c r="P68" s="38" t="s">
        <v>17</v>
      </c>
    </row>
    <row r="69" spans="1:16" s="2" customFormat="1" ht="18" customHeight="1">
      <c r="A69" s="18">
        <v>67</v>
      </c>
      <c r="B69" s="19">
        <v>112</v>
      </c>
      <c r="C69" s="20" t="s">
        <v>343</v>
      </c>
      <c r="D69" s="18" t="s">
        <v>100</v>
      </c>
      <c r="E69" s="18">
        <v>1</v>
      </c>
      <c r="F69" s="18" t="s">
        <v>234</v>
      </c>
      <c r="G69" s="20"/>
      <c r="H69" s="18">
        <v>400</v>
      </c>
      <c r="I69" s="18">
        <v>200</v>
      </c>
      <c r="J69" s="18">
        <v>1500</v>
      </c>
      <c r="K69" s="35"/>
      <c r="L69" s="36">
        <f t="shared" si="2"/>
        <v>170</v>
      </c>
      <c r="M69" s="35">
        <v>0.6</v>
      </c>
      <c r="N69" s="36">
        <f t="shared" si="3"/>
        <v>102</v>
      </c>
      <c r="O69" s="37"/>
      <c r="P69" s="38" t="s">
        <v>17</v>
      </c>
    </row>
    <row r="70" spans="1:16" s="2" customFormat="1" ht="18" customHeight="1">
      <c r="A70" s="18">
        <v>68</v>
      </c>
      <c r="B70" s="19">
        <v>113</v>
      </c>
      <c r="C70" s="20" t="s">
        <v>344</v>
      </c>
      <c r="D70" s="18" t="s">
        <v>100</v>
      </c>
      <c r="E70" s="18">
        <v>1</v>
      </c>
      <c r="F70" s="18" t="s">
        <v>234</v>
      </c>
      <c r="G70" s="20"/>
      <c r="H70" s="18">
        <v>200</v>
      </c>
      <c r="I70" s="18">
        <v>200</v>
      </c>
      <c r="J70" s="18">
        <v>1500</v>
      </c>
      <c r="K70" s="35"/>
      <c r="L70" s="36">
        <f t="shared" si="2"/>
        <v>170</v>
      </c>
      <c r="M70" s="35">
        <v>0.4</v>
      </c>
      <c r="N70" s="36">
        <f t="shared" si="3"/>
        <v>68</v>
      </c>
      <c r="O70" s="37"/>
      <c r="P70" s="38" t="s">
        <v>17</v>
      </c>
    </row>
    <row r="71" spans="1:16" s="2" customFormat="1" ht="18" customHeight="1">
      <c r="A71" s="18">
        <v>69</v>
      </c>
      <c r="B71" s="19">
        <v>114</v>
      </c>
      <c r="C71" s="20" t="s">
        <v>345</v>
      </c>
      <c r="D71" s="18" t="s">
        <v>100</v>
      </c>
      <c r="E71" s="18">
        <v>1</v>
      </c>
      <c r="F71" s="18" t="s">
        <v>234</v>
      </c>
      <c r="G71" s="20"/>
      <c r="H71" s="18">
        <v>500</v>
      </c>
      <c r="I71" s="18">
        <v>1000</v>
      </c>
      <c r="J71" s="18">
        <v>2500</v>
      </c>
      <c r="K71" s="35"/>
      <c r="L71" s="36">
        <f t="shared" si="2"/>
        <v>170</v>
      </c>
      <c r="M71" s="35">
        <v>0.5</v>
      </c>
      <c r="N71" s="36">
        <f t="shared" si="3"/>
        <v>85</v>
      </c>
      <c r="O71" s="37"/>
      <c r="P71" s="38" t="s">
        <v>17</v>
      </c>
    </row>
    <row r="72" spans="1:16" s="2" customFormat="1" ht="18" customHeight="1">
      <c r="A72" s="18">
        <v>70</v>
      </c>
      <c r="B72" s="19">
        <v>115</v>
      </c>
      <c r="C72" s="20" t="s">
        <v>289</v>
      </c>
      <c r="D72" s="18" t="s">
        <v>100</v>
      </c>
      <c r="E72" s="18">
        <v>1</v>
      </c>
      <c r="F72" s="18" t="s">
        <v>234</v>
      </c>
      <c r="G72" s="20"/>
      <c r="H72" s="18">
        <v>300</v>
      </c>
      <c r="I72" s="18">
        <v>1000</v>
      </c>
      <c r="J72" s="18">
        <v>1500</v>
      </c>
      <c r="K72" s="35"/>
      <c r="L72" s="36">
        <f t="shared" si="2"/>
        <v>170</v>
      </c>
      <c r="M72" s="35">
        <v>0.5</v>
      </c>
      <c r="N72" s="36">
        <f t="shared" si="3"/>
        <v>85</v>
      </c>
      <c r="O72" s="37"/>
      <c r="P72" s="38" t="s">
        <v>17</v>
      </c>
    </row>
    <row r="73" spans="1:16" s="2" customFormat="1" ht="18" customHeight="1">
      <c r="A73" s="18">
        <v>71</v>
      </c>
      <c r="B73" s="19">
        <v>116</v>
      </c>
      <c r="C73" s="20" t="s">
        <v>346</v>
      </c>
      <c r="D73" s="18" t="s">
        <v>100</v>
      </c>
      <c r="E73" s="18">
        <v>1</v>
      </c>
      <c r="F73" s="18" t="s">
        <v>234</v>
      </c>
      <c r="G73" s="20"/>
      <c r="H73" s="18">
        <v>200</v>
      </c>
      <c r="I73" s="18">
        <v>200</v>
      </c>
      <c r="J73" s="18">
        <v>1800</v>
      </c>
      <c r="K73" s="35"/>
      <c r="L73" s="36">
        <f t="shared" si="2"/>
        <v>170</v>
      </c>
      <c r="M73" s="35">
        <v>0.5</v>
      </c>
      <c r="N73" s="36">
        <f t="shared" si="3"/>
        <v>85</v>
      </c>
      <c r="O73" s="37"/>
      <c r="P73" s="38" t="s">
        <v>17</v>
      </c>
    </row>
    <row r="74" spans="1:16" s="2" customFormat="1" ht="18" customHeight="1">
      <c r="A74" s="18">
        <v>72</v>
      </c>
      <c r="B74" s="19">
        <v>117</v>
      </c>
      <c r="C74" s="20" t="s">
        <v>347</v>
      </c>
      <c r="D74" s="18" t="s">
        <v>100</v>
      </c>
      <c r="E74" s="18">
        <v>1</v>
      </c>
      <c r="F74" s="18" t="s">
        <v>234</v>
      </c>
      <c r="G74" s="20"/>
      <c r="H74" s="18">
        <v>200</v>
      </c>
      <c r="I74" s="18">
        <v>100</v>
      </c>
      <c r="J74" s="18">
        <v>1000</v>
      </c>
      <c r="K74" s="35"/>
      <c r="L74" s="36">
        <f>L82</f>
        <v>294</v>
      </c>
      <c r="M74" s="35">
        <v>0.4</v>
      </c>
      <c r="N74" s="36">
        <f t="shared" si="3"/>
        <v>118</v>
      </c>
      <c r="O74" s="37"/>
      <c r="P74" s="38" t="s">
        <v>17</v>
      </c>
    </row>
    <row r="75" spans="1:16" s="2" customFormat="1" ht="18" customHeight="1">
      <c r="A75" s="18">
        <v>73</v>
      </c>
      <c r="B75" s="19">
        <v>118</v>
      </c>
      <c r="C75" s="20" t="s">
        <v>348</v>
      </c>
      <c r="D75" s="18" t="s">
        <v>100</v>
      </c>
      <c r="E75" s="18">
        <v>1</v>
      </c>
      <c r="F75" s="18" t="s">
        <v>234</v>
      </c>
      <c r="G75" s="20" t="s">
        <v>349</v>
      </c>
      <c r="H75" s="18">
        <v>300</v>
      </c>
      <c r="I75" s="18">
        <v>200</v>
      </c>
      <c r="J75" s="18">
        <v>1000</v>
      </c>
      <c r="K75" s="35"/>
      <c r="L75" s="36">
        <f>L79</f>
        <v>294</v>
      </c>
      <c r="M75" s="35">
        <v>0.4</v>
      </c>
      <c r="N75" s="36">
        <f t="shared" si="3"/>
        <v>118</v>
      </c>
      <c r="O75" s="37"/>
      <c r="P75" s="38" t="s">
        <v>17</v>
      </c>
    </row>
    <row r="76" spans="1:16" s="2" customFormat="1" ht="18" customHeight="1">
      <c r="A76" s="18">
        <v>74</v>
      </c>
      <c r="B76" s="19">
        <v>119</v>
      </c>
      <c r="C76" s="20" t="s">
        <v>289</v>
      </c>
      <c r="D76" s="18" t="s">
        <v>100</v>
      </c>
      <c r="E76" s="18">
        <v>1</v>
      </c>
      <c r="F76" s="18" t="s">
        <v>234</v>
      </c>
      <c r="G76" s="20"/>
      <c r="H76" s="18">
        <v>200</v>
      </c>
      <c r="I76" s="18">
        <v>200</v>
      </c>
      <c r="J76" s="18">
        <v>1000</v>
      </c>
      <c r="K76" s="35"/>
      <c r="L76" s="36">
        <f>ROUND((153+168+178+179.1)/4,0)</f>
        <v>170</v>
      </c>
      <c r="M76" s="35">
        <v>0.4</v>
      </c>
      <c r="N76" s="36">
        <f t="shared" si="3"/>
        <v>68</v>
      </c>
      <c r="O76" s="37"/>
      <c r="P76" s="38" t="s">
        <v>17</v>
      </c>
    </row>
    <row r="77" spans="1:16" s="2" customFormat="1" ht="18" customHeight="1">
      <c r="A77" s="18">
        <v>75</v>
      </c>
      <c r="B77" s="19">
        <v>120</v>
      </c>
      <c r="C77" s="20" t="s">
        <v>289</v>
      </c>
      <c r="D77" s="18" t="s">
        <v>100</v>
      </c>
      <c r="E77" s="18">
        <v>1</v>
      </c>
      <c r="F77" s="18" t="s">
        <v>234</v>
      </c>
      <c r="G77" s="20"/>
      <c r="H77" s="18">
        <v>200</v>
      </c>
      <c r="I77" s="18">
        <v>200</v>
      </c>
      <c r="J77" s="18">
        <v>1000</v>
      </c>
      <c r="K77" s="35"/>
      <c r="L77" s="36">
        <f>ROUND((153+168+178+179.1)/4,0)</f>
        <v>170</v>
      </c>
      <c r="M77" s="35">
        <v>0.4</v>
      </c>
      <c r="N77" s="36">
        <f t="shared" si="3"/>
        <v>68</v>
      </c>
      <c r="O77" s="37"/>
      <c r="P77" s="38" t="s">
        <v>17</v>
      </c>
    </row>
    <row r="78" spans="1:16" s="2" customFormat="1" ht="18" customHeight="1">
      <c r="A78" s="18">
        <v>76</v>
      </c>
      <c r="B78" s="19">
        <v>121</v>
      </c>
      <c r="C78" s="20" t="s">
        <v>350</v>
      </c>
      <c r="D78" s="18" t="s">
        <v>100</v>
      </c>
      <c r="E78" s="18">
        <v>1</v>
      </c>
      <c r="F78" s="18" t="s">
        <v>234</v>
      </c>
      <c r="G78" s="20"/>
      <c r="H78" s="18">
        <v>200</v>
      </c>
      <c r="I78" s="18">
        <v>100</v>
      </c>
      <c r="J78" s="18">
        <v>800</v>
      </c>
      <c r="K78" s="35"/>
      <c r="L78" s="36">
        <f>ROUND((153+168+178+179.1)/4,0)</f>
        <v>170</v>
      </c>
      <c r="M78" s="35">
        <v>0.4</v>
      </c>
      <c r="N78" s="36">
        <f t="shared" si="3"/>
        <v>68</v>
      </c>
      <c r="O78" s="37"/>
      <c r="P78" s="38" t="s">
        <v>17</v>
      </c>
    </row>
    <row r="79" spans="1:16" s="2" customFormat="1" ht="18" customHeight="1">
      <c r="A79" s="18">
        <v>77</v>
      </c>
      <c r="B79" s="19">
        <v>122</v>
      </c>
      <c r="C79" s="20" t="s">
        <v>351</v>
      </c>
      <c r="D79" s="18" t="s">
        <v>100</v>
      </c>
      <c r="E79" s="18">
        <v>1</v>
      </c>
      <c r="F79" s="18" t="s">
        <v>234</v>
      </c>
      <c r="G79" s="20"/>
      <c r="H79" s="18">
        <v>200</v>
      </c>
      <c r="I79" s="18">
        <v>200</v>
      </c>
      <c r="J79" s="18">
        <v>1000</v>
      </c>
      <c r="K79" s="35"/>
      <c r="L79" s="36">
        <f>L82</f>
        <v>294</v>
      </c>
      <c r="M79" s="35">
        <v>0.4</v>
      </c>
      <c r="N79" s="36">
        <f t="shared" si="3"/>
        <v>118</v>
      </c>
      <c r="O79" s="37"/>
      <c r="P79" s="38" t="s">
        <v>17</v>
      </c>
    </row>
    <row r="80" spans="1:16" s="2" customFormat="1" ht="18" customHeight="1">
      <c r="A80" s="18">
        <v>78</v>
      </c>
      <c r="B80" s="19">
        <v>123</v>
      </c>
      <c r="C80" s="20" t="s">
        <v>253</v>
      </c>
      <c r="D80" s="18" t="s">
        <v>100</v>
      </c>
      <c r="E80" s="18">
        <v>1</v>
      </c>
      <c r="F80" s="18" t="s">
        <v>234</v>
      </c>
      <c r="G80" s="20"/>
      <c r="H80" s="18">
        <v>200</v>
      </c>
      <c r="I80" s="18">
        <v>200</v>
      </c>
      <c r="J80" s="18">
        <v>1000</v>
      </c>
      <c r="K80" s="35"/>
      <c r="L80" s="36">
        <f>ROUND((153+168+178+179.1)/4,0)</f>
        <v>170</v>
      </c>
      <c r="M80" s="35">
        <v>0.4</v>
      </c>
      <c r="N80" s="36">
        <f t="shared" si="3"/>
        <v>68</v>
      </c>
      <c r="O80" s="37"/>
      <c r="P80" s="38" t="s">
        <v>17</v>
      </c>
    </row>
    <row r="81" spans="1:16" s="2" customFormat="1" ht="18" customHeight="1">
      <c r="A81" s="18">
        <v>79</v>
      </c>
      <c r="B81" s="19">
        <v>124</v>
      </c>
      <c r="C81" s="20" t="s">
        <v>253</v>
      </c>
      <c r="D81" s="18" t="s">
        <v>100</v>
      </c>
      <c r="E81" s="18">
        <v>1</v>
      </c>
      <c r="F81" s="18" t="s">
        <v>234</v>
      </c>
      <c r="G81" s="20" t="s">
        <v>352</v>
      </c>
      <c r="H81" s="18">
        <v>200</v>
      </c>
      <c r="I81" s="18">
        <v>500</v>
      </c>
      <c r="J81" s="18">
        <v>800</v>
      </c>
      <c r="K81" s="35"/>
      <c r="L81" s="36">
        <f>ROUND((153+168+178+179.1)/4,0)</f>
        <v>170</v>
      </c>
      <c r="M81" s="35">
        <v>0.4</v>
      </c>
      <c r="N81" s="36">
        <f t="shared" si="3"/>
        <v>68</v>
      </c>
      <c r="O81" s="37"/>
      <c r="P81" s="38" t="s">
        <v>17</v>
      </c>
    </row>
    <row r="82" spans="1:16" s="2" customFormat="1" ht="18" customHeight="1">
      <c r="A82" s="18">
        <v>80</v>
      </c>
      <c r="B82" s="19">
        <v>125</v>
      </c>
      <c r="C82" s="20" t="s">
        <v>353</v>
      </c>
      <c r="D82" s="18" t="s">
        <v>100</v>
      </c>
      <c r="E82" s="18">
        <v>1</v>
      </c>
      <c r="F82" s="18" t="s">
        <v>234</v>
      </c>
      <c r="G82" s="20"/>
      <c r="H82" s="18">
        <v>300</v>
      </c>
      <c r="I82" s="18">
        <v>200</v>
      </c>
      <c r="J82" s="18">
        <v>1000</v>
      </c>
      <c r="K82" s="35"/>
      <c r="L82" s="36">
        <f>L84</f>
        <v>294</v>
      </c>
      <c r="M82" s="35">
        <v>0.8</v>
      </c>
      <c r="N82" s="36">
        <f t="shared" si="3"/>
        <v>235</v>
      </c>
      <c r="O82" s="37"/>
      <c r="P82" s="38" t="s">
        <v>17</v>
      </c>
    </row>
    <row r="83" spans="1:16" s="2" customFormat="1" ht="18" customHeight="1">
      <c r="A83" s="18">
        <v>81</v>
      </c>
      <c r="B83" s="19">
        <v>126</v>
      </c>
      <c r="C83" s="20" t="s">
        <v>289</v>
      </c>
      <c r="D83" s="18" t="s">
        <v>100</v>
      </c>
      <c r="E83" s="18">
        <v>1</v>
      </c>
      <c r="F83" s="18" t="s">
        <v>234</v>
      </c>
      <c r="G83" s="20"/>
      <c r="H83" s="18">
        <v>200</v>
      </c>
      <c r="I83" s="18">
        <v>300</v>
      </c>
      <c r="J83" s="18">
        <v>1000</v>
      </c>
      <c r="K83" s="35"/>
      <c r="L83" s="36">
        <f>ROUND((153+168+178+179.1)/4,0)</f>
        <v>170</v>
      </c>
      <c r="M83" s="35">
        <v>0.4</v>
      </c>
      <c r="N83" s="36">
        <f t="shared" si="3"/>
        <v>68</v>
      </c>
      <c r="O83" s="37"/>
      <c r="P83" s="38" t="s">
        <v>17</v>
      </c>
    </row>
    <row r="84" spans="1:16" s="2" customFormat="1" ht="18" customHeight="1">
      <c r="A84" s="18">
        <v>82</v>
      </c>
      <c r="B84" s="19">
        <v>127</v>
      </c>
      <c r="C84" s="20" t="s">
        <v>354</v>
      </c>
      <c r="D84" s="18" t="s">
        <v>100</v>
      </c>
      <c r="E84" s="18">
        <v>1</v>
      </c>
      <c r="F84" s="18" t="s">
        <v>234</v>
      </c>
      <c r="G84" s="20" t="s">
        <v>355</v>
      </c>
      <c r="H84" s="18">
        <v>200</v>
      </c>
      <c r="I84" s="18">
        <v>200</v>
      </c>
      <c r="J84" s="18">
        <v>1200</v>
      </c>
      <c r="K84" s="35"/>
      <c r="L84" s="36">
        <f>L50</f>
        <v>294</v>
      </c>
      <c r="M84" s="35">
        <v>0.4</v>
      </c>
      <c r="N84" s="36">
        <f t="shared" si="3"/>
        <v>118</v>
      </c>
      <c r="O84" s="37"/>
      <c r="P84" s="38" t="s">
        <v>17</v>
      </c>
    </row>
    <row r="85" spans="1:16" s="2" customFormat="1" ht="18" customHeight="1">
      <c r="A85" s="18">
        <v>83</v>
      </c>
      <c r="B85" s="19">
        <v>128</v>
      </c>
      <c r="C85" s="20" t="s">
        <v>356</v>
      </c>
      <c r="D85" s="18" t="s">
        <v>100</v>
      </c>
      <c r="E85" s="18">
        <v>1</v>
      </c>
      <c r="F85" s="18" t="s">
        <v>234</v>
      </c>
      <c r="G85" s="20" t="s">
        <v>349</v>
      </c>
      <c r="H85" s="18">
        <v>300</v>
      </c>
      <c r="I85" s="18">
        <v>250</v>
      </c>
      <c r="J85" s="18">
        <v>1000</v>
      </c>
      <c r="K85" s="35"/>
      <c r="L85" s="36">
        <f>L97</f>
        <v>294</v>
      </c>
      <c r="M85" s="35">
        <v>0.8</v>
      </c>
      <c r="N85" s="36">
        <f t="shared" si="3"/>
        <v>235</v>
      </c>
      <c r="O85" s="37"/>
      <c r="P85" s="38" t="s">
        <v>17</v>
      </c>
    </row>
    <row r="86" spans="1:16" s="2" customFormat="1" ht="18" customHeight="1">
      <c r="A86" s="18">
        <v>84</v>
      </c>
      <c r="B86" s="19">
        <v>129</v>
      </c>
      <c r="C86" s="20" t="s">
        <v>253</v>
      </c>
      <c r="D86" s="18" t="s">
        <v>100</v>
      </c>
      <c r="E86" s="18">
        <v>1</v>
      </c>
      <c r="F86" s="18" t="s">
        <v>234</v>
      </c>
      <c r="G86" s="20"/>
      <c r="H86" s="18">
        <v>200</v>
      </c>
      <c r="I86" s="18">
        <v>200</v>
      </c>
      <c r="J86" s="18">
        <v>800</v>
      </c>
      <c r="K86" s="35"/>
      <c r="L86" s="36">
        <f aca="true" t="shared" si="4" ref="L86:L94">ROUND((153+168+178+179.1)/4,0)</f>
        <v>170</v>
      </c>
      <c r="M86" s="35">
        <v>0.4</v>
      </c>
      <c r="N86" s="36">
        <f t="shared" si="3"/>
        <v>68</v>
      </c>
      <c r="O86" s="37"/>
      <c r="P86" s="38" t="s">
        <v>17</v>
      </c>
    </row>
    <row r="87" spans="1:16" s="2" customFormat="1" ht="18" customHeight="1">
      <c r="A87" s="18">
        <v>85</v>
      </c>
      <c r="B87" s="19">
        <v>130</v>
      </c>
      <c r="C87" s="20" t="s">
        <v>357</v>
      </c>
      <c r="D87" s="18" t="s">
        <v>100</v>
      </c>
      <c r="E87" s="18">
        <v>1</v>
      </c>
      <c r="F87" s="18" t="s">
        <v>234</v>
      </c>
      <c r="G87" s="20"/>
      <c r="H87" s="18">
        <v>500</v>
      </c>
      <c r="I87" s="18">
        <v>100</v>
      </c>
      <c r="J87" s="18">
        <v>1500</v>
      </c>
      <c r="K87" s="35"/>
      <c r="L87" s="36">
        <f t="shared" si="4"/>
        <v>170</v>
      </c>
      <c r="M87" s="35">
        <v>0.4</v>
      </c>
      <c r="N87" s="36">
        <f t="shared" si="3"/>
        <v>68</v>
      </c>
      <c r="O87" s="37"/>
      <c r="P87" s="38" t="s">
        <v>17</v>
      </c>
    </row>
    <row r="88" spans="1:16" s="2" customFormat="1" ht="18" customHeight="1">
      <c r="A88" s="18">
        <v>86</v>
      </c>
      <c r="B88" s="19">
        <v>131</v>
      </c>
      <c r="C88" s="20" t="s">
        <v>358</v>
      </c>
      <c r="D88" s="18" t="s">
        <v>100</v>
      </c>
      <c r="E88" s="18">
        <v>1</v>
      </c>
      <c r="F88" s="18" t="s">
        <v>234</v>
      </c>
      <c r="G88" s="20"/>
      <c r="H88" s="18">
        <v>2000</v>
      </c>
      <c r="I88" s="18">
        <v>1000</v>
      </c>
      <c r="J88" s="18">
        <v>3000</v>
      </c>
      <c r="K88" s="35"/>
      <c r="L88" s="36">
        <f t="shared" si="4"/>
        <v>170</v>
      </c>
      <c r="M88" s="35">
        <v>0.6</v>
      </c>
      <c r="N88" s="36">
        <f t="shared" si="3"/>
        <v>102</v>
      </c>
      <c r="O88" s="37"/>
      <c r="P88" s="38" t="s">
        <v>17</v>
      </c>
    </row>
    <row r="89" spans="1:16" s="2" customFormat="1" ht="18" customHeight="1">
      <c r="A89" s="18">
        <v>87</v>
      </c>
      <c r="B89" s="19">
        <v>132</v>
      </c>
      <c r="C89" s="20" t="s">
        <v>359</v>
      </c>
      <c r="D89" s="18" t="s">
        <v>100</v>
      </c>
      <c r="E89" s="18">
        <v>1</v>
      </c>
      <c r="F89" s="18" t="s">
        <v>234</v>
      </c>
      <c r="G89" s="20"/>
      <c r="H89" s="18">
        <v>200</v>
      </c>
      <c r="I89" s="18">
        <v>200</v>
      </c>
      <c r="J89" s="18">
        <v>800</v>
      </c>
      <c r="K89" s="35"/>
      <c r="L89" s="36">
        <f t="shared" si="4"/>
        <v>170</v>
      </c>
      <c r="M89" s="35">
        <v>0.4</v>
      </c>
      <c r="N89" s="36">
        <f t="shared" si="3"/>
        <v>68</v>
      </c>
      <c r="O89" s="37"/>
      <c r="P89" s="38" t="s">
        <v>17</v>
      </c>
    </row>
    <row r="90" spans="1:16" s="2" customFormat="1" ht="18" customHeight="1">
      <c r="A90" s="18">
        <v>88</v>
      </c>
      <c r="B90" s="19">
        <v>133</v>
      </c>
      <c r="C90" s="20" t="s">
        <v>360</v>
      </c>
      <c r="D90" s="18" t="s">
        <v>100</v>
      </c>
      <c r="E90" s="18">
        <v>1</v>
      </c>
      <c r="F90" s="18" t="s">
        <v>234</v>
      </c>
      <c r="G90" s="20"/>
      <c r="H90" s="18">
        <v>2000</v>
      </c>
      <c r="I90" s="18">
        <v>1000</v>
      </c>
      <c r="J90" s="18">
        <v>3000</v>
      </c>
      <c r="K90" s="35"/>
      <c r="L90" s="36">
        <f t="shared" si="4"/>
        <v>170</v>
      </c>
      <c r="M90" s="35">
        <v>0.6</v>
      </c>
      <c r="N90" s="36">
        <f t="shared" si="3"/>
        <v>102</v>
      </c>
      <c r="O90" s="37"/>
      <c r="P90" s="38" t="s">
        <v>17</v>
      </c>
    </row>
    <row r="91" spans="1:16" s="2" customFormat="1" ht="18" customHeight="1">
      <c r="A91" s="18">
        <v>89</v>
      </c>
      <c r="B91" s="19">
        <v>134</v>
      </c>
      <c r="C91" s="20" t="s">
        <v>253</v>
      </c>
      <c r="D91" s="18" t="s">
        <v>100</v>
      </c>
      <c r="E91" s="18">
        <v>1</v>
      </c>
      <c r="F91" s="18" t="s">
        <v>234</v>
      </c>
      <c r="G91" s="20"/>
      <c r="H91" s="18">
        <v>200</v>
      </c>
      <c r="I91" s="18">
        <v>200</v>
      </c>
      <c r="J91" s="18">
        <v>1000</v>
      </c>
      <c r="K91" s="35"/>
      <c r="L91" s="36">
        <f t="shared" si="4"/>
        <v>170</v>
      </c>
      <c r="M91" s="35">
        <v>0.4</v>
      </c>
      <c r="N91" s="36">
        <f t="shared" si="3"/>
        <v>68</v>
      </c>
      <c r="O91" s="37"/>
      <c r="P91" s="38" t="s">
        <v>17</v>
      </c>
    </row>
    <row r="92" spans="1:16" s="2" customFormat="1" ht="18" customHeight="1">
      <c r="A92" s="18">
        <v>90</v>
      </c>
      <c r="B92" s="19">
        <v>135</v>
      </c>
      <c r="C92" s="20" t="s">
        <v>289</v>
      </c>
      <c r="D92" s="18" t="s">
        <v>100</v>
      </c>
      <c r="E92" s="18">
        <v>1</v>
      </c>
      <c r="F92" s="18" t="s">
        <v>234</v>
      </c>
      <c r="G92" s="20" t="s">
        <v>352</v>
      </c>
      <c r="H92" s="18">
        <v>200</v>
      </c>
      <c r="I92" s="18">
        <v>200</v>
      </c>
      <c r="J92" s="18">
        <v>800</v>
      </c>
      <c r="K92" s="35"/>
      <c r="L92" s="36">
        <f t="shared" si="4"/>
        <v>170</v>
      </c>
      <c r="M92" s="35">
        <v>0.4</v>
      </c>
      <c r="N92" s="36">
        <f t="shared" si="3"/>
        <v>68</v>
      </c>
      <c r="O92" s="37"/>
      <c r="P92" s="38" t="s">
        <v>17</v>
      </c>
    </row>
    <row r="93" spans="1:16" s="2" customFormat="1" ht="18" customHeight="1">
      <c r="A93" s="18">
        <v>91</v>
      </c>
      <c r="B93" s="19">
        <v>136</v>
      </c>
      <c r="C93" s="20" t="s">
        <v>289</v>
      </c>
      <c r="D93" s="18" t="s">
        <v>100</v>
      </c>
      <c r="E93" s="18">
        <v>1</v>
      </c>
      <c r="F93" s="18" t="s">
        <v>234</v>
      </c>
      <c r="G93" s="20"/>
      <c r="H93" s="18">
        <v>200</v>
      </c>
      <c r="I93" s="18">
        <v>200</v>
      </c>
      <c r="J93" s="18">
        <v>1000</v>
      </c>
      <c r="K93" s="35"/>
      <c r="L93" s="36">
        <f t="shared" si="4"/>
        <v>170</v>
      </c>
      <c r="M93" s="35">
        <v>0.4</v>
      </c>
      <c r="N93" s="36">
        <f t="shared" si="3"/>
        <v>68</v>
      </c>
      <c r="O93" s="37"/>
      <c r="P93" s="38" t="s">
        <v>17</v>
      </c>
    </row>
    <row r="94" spans="1:16" s="2" customFormat="1" ht="18" customHeight="1">
      <c r="A94" s="18">
        <v>92</v>
      </c>
      <c r="B94" s="19">
        <v>137</v>
      </c>
      <c r="C94" s="20" t="s">
        <v>289</v>
      </c>
      <c r="D94" s="18" t="s">
        <v>100</v>
      </c>
      <c r="E94" s="18">
        <v>1</v>
      </c>
      <c r="F94" s="18" t="s">
        <v>234</v>
      </c>
      <c r="G94" s="20"/>
      <c r="H94" s="18">
        <v>200</v>
      </c>
      <c r="I94" s="18">
        <v>200</v>
      </c>
      <c r="J94" s="18">
        <v>1000</v>
      </c>
      <c r="K94" s="35"/>
      <c r="L94" s="36">
        <f t="shared" si="4"/>
        <v>170</v>
      </c>
      <c r="M94" s="35">
        <v>0.4</v>
      </c>
      <c r="N94" s="36">
        <f t="shared" si="3"/>
        <v>68</v>
      </c>
      <c r="O94" s="37"/>
      <c r="P94" s="38" t="s">
        <v>17</v>
      </c>
    </row>
    <row r="95" spans="1:16" s="2" customFormat="1" ht="18" customHeight="1">
      <c r="A95" s="18">
        <v>93</v>
      </c>
      <c r="B95" s="19">
        <v>139</v>
      </c>
      <c r="C95" s="20" t="s">
        <v>333</v>
      </c>
      <c r="D95" s="18" t="s">
        <v>100</v>
      </c>
      <c r="E95" s="18">
        <v>1</v>
      </c>
      <c r="F95" s="18" t="s">
        <v>234</v>
      </c>
      <c r="G95" s="20" t="s">
        <v>327</v>
      </c>
      <c r="H95" s="18">
        <v>1000</v>
      </c>
      <c r="I95" s="18">
        <v>200</v>
      </c>
      <c r="J95" s="18">
        <v>4000</v>
      </c>
      <c r="K95" s="35"/>
      <c r="L95" s="36">
        <f>L53</f>
        <v>383</v>
      </c>
      <c r="M95" s="35">
        <v>0.5</v>
      </c>
      <c r="N95" s="36">
        <f t="shared" si="3"/>
        <v>192</v>
      </c>
      <c r="O95" s="37"/>
      <c r="P95" s="38" t="s">
        <v>17</v>
      </c>
    </row>
    <row r="96" spans="1:16" s="2" customFormat="1" ht="18" customHeight="1">
      <c r="A96" s="18">
        <v>94</v>
      </c>
      <c r="B96" s="19">
        <v>140</v>
      </c>
      <c r="C96" s="20" t="s">
        <v>354</v>
      </c>
      <c r="D96" s="18" t="s">
        <v>100</v>
      </c>
      <c r="E96" s="18">
        <v>1</v>
      </c>
      <c r="F96" s="18" t="s">
        <v>234</v>
      </c>
      <c r="G96" s="20" t="s">
        <v>355</v>
      </c>
      <c r="H96" s="18">
        <v>300</v>
      </c>
      <c r="I96" s="18">
        <v>300</v>
      </c>
      <c r="J96" s="18">
        <v>1200</v>
      </c>
      <c r="K96" s="35"/>
      <c r="L96" s="36">
        <f>L113</f>
        <v>294</v>
      </c>
      <c r="M96" s="35">
        <v>0.4</v>
      </c>
      <c r="N96" s="36">
        <f t="shared" si="3"/>
        <v>118</v>
      </c>
      <c r="O96" s="37"/>
      <c r="P96" s="38" t="s">
        <v>17</v>
      </c>
    </row>
    <row r="97" spans="1:16" s="2" customFormat="1" ht="18" customHeight="1">
      <c r="A97" s="18">
        <v>95</v>
      </c>
      <c r="B97" s="19">
        <v>141</v>
      </c>
      <c r="C97" s="20" t="s">
        <v>351</v>
      </c>
      <c r="D97" s="18" t="s">
        <v>100</v>
      </c>
      <c r="E97" s="18">
        <v>1</v>
      </c>
      <c r="F97" s="18" t="s">
        <v>234</v>
      </c>
      <c r="G97" s="20"/>
      <c r="H97" s="18">
        <v>200</v>
      </c>
      <c r="I97" s="18">
        <v>600</v>
      </c>
      <c r="J97" s="18">
        <v>1500</v>
      </c>
      <c r="K97" s="35"/>
      <c r="L97" s="36">
        <f>L102</f>
        <v>294</v>
      </c>
      <c r="M97" s="35">
        <v>0.4</v>
      </c>
      <c r="N97" s="36">
        <f t="shared" si="3"/>
        <v>118</v>
      </c>
      <c r="O97" s="37"/>
      <c r="P97" s="38" t="s">
        <v>17</v>
      </c>
    </row>
    <row r="98" spans="1:16" s="2" customFormat="1" ht="18" customHeight="1">
      <c r="A98" s="18">
        <v>96</v>
      </c>
      <c r="B98" s="19">
        <v>142</v>
      </c>
      <c r="C98" s="20" t="s">
        <v>361</v>
      </c>
      <c r="D98" s="18" t="s">
        <v>100</v>
      </c>
      <c r="E98" s="18">
        <v>1</v>
      </c>
      <c r="F98" s="18" t="s">
        <v>362</v>
      </c>
      <c r="G98" s="20"/>
      <c r="H98" s="18">
        <v>1000</v>
      </c>
      <c r="I98" s="18">
        <v>500</v>
      </c>
      <c r="J98" s="18">
        <v>3000</v>
      </c>
      <c r="K98" s="35"/>
      <c r="L98" s="36">
        <v>3000</v>
      </c>
      <c r="M98" s="35">
        <v>0.5</v>
      </c>
      <c r="N98" s="36">
        <f t="shared" si="3"/>
        <v>1500</v>
      </c>
      <c r="O98" s="37"/>
      <c r="P98" s="38" t="s">
        <v>17</v>
      </c>
    </row>
    <row r="99" spans="1:16" s="2" customFormat="1" ht="18" customHeight="1">
      <c r="A99" s="18">
        <v>97</v>
      </c>
      <c r="B99" s="19">
        <v>143</v>
      </c>
      <c r="C99" s="20" t="s">
        <v>289</v>
      </c>
      <c r="D99" s="18" t="s">
        <v>100</v>
      </c>
      <c r="E99" s="18">
        <v>1</v>
      </c>
      <c r="F99" s="18" t="s">
        <v>234</v>
      </c>
      <c r="G99" s="20"/>
      <c r="H99" s="18">
        <v>500</v>
      </c>
      <c r="I99" s="18">
        <v>500</v>
      </c>
      <c r="J99" s="18">
        <v>1200</v>
      </c>
      <c r="K99" s="35"/>
      <c r="L99" s="36">
        <f>ROUND((153+168+178+179.1)/4,0)</f>
        <v>170</v>
      </c>
      <c r="M99" s="35">
        <v>0.5</v>
      </c>
      <c r="N99" s="36">
        <f t="shared" si="3"/>
        <v>85</v>
      </c>
      <c r="O99" s="37"/>
      <c r="P99" s="38" t="s">
        <v>17</v>
      </c>
    </row>
    <row r="100" spans="1:16" s="2" customFormat="1" ht="18" customHeight="1">
      <c r="A100" s="18">
        <v>98</v>
      </c>
      <c r="B100" s="19">
        <v>144</v>
      </c>
      <c r="C100" s="20" t="s">
        <v>363</v>
      </c>
      <c r="D100" s="18" t="s">
        <v>100</v>
      </c>
      <c r="E100" s="18">
        <v>1</v>
      </c>
      <c r="F100" s="18" t="s">
        <v>234</v>
      </c>
      <c r="G100" s="20"/>
      <c r="H100" s="18">
        <v>500</v>
      </c>
      <c r="I100" s="18">
        <v>100</v>
      </c>
      <c r="J100" s="18">
        <v>2800</v>
      </c>
      <c r="K100" s="35"/>
      <c r="L100" s="36">
        <f>L101</f>
        <v>294</v>
      </c>
      <c r="M100" s="35">
        <v>0.5</v>
      </c>
      <c r="N100" s="36">
        <f t="shared" si="3"/>
        <v>147</v>
      </c>
      <c r="O100" s="37"/>
      <c r="P100" s="38" t="s">
        <v>17</v>
      </c>
    </row>
    <row r="101" spans="1:16" s="2" customFormat="1" ht="18" customHeight="1">
      <c r="A101" s="18">
        <v>99</v>
      </c>
      <c r="B101" s="19">
        <v>145</v>
      </c>
      <c r="C101" s="20" t="s">
        <v>364</v>
      </c>
      <c r="D101" s="18" t="s">
        <v>100</v>
      </c>
      <c r="E101" s="18">
        <v>1</v>
      </c>
      <c r="F101" s="18" t="s">
        <v>234</v>
      </c>
      <c r="G101" s="20" t="s">
        <v>335</v>
      </c>
      <c r="H101" s="18">
        <v>300</v>
      </c>
      <c r="I101" s="18">
        <v>3000</v>
      </c>
      <c r="J101" s="18">
        <v>1500</v>
      </c>
      <c r="K101" s="35"/>
      <c r="L101" s="36">
        <f>L102</f>
        <v>294</v>
      </c>
      <c r="M101" s="35">
        <v>0.4</v>
      </c>
      <c r="N101" s="36">
        <f t="shared" si="3"/>
        <v>118</v>
      </c>
      <c r="O101" s="37"/>
      <c r="P101" s="38" t="s">
        <v>17</v>
      </c>
    </row>
    <row r="102" spans="1:16" s="2" customFormat="1" ht="18" customHeight="1">
      <c r="A102" s="18">
        <v>100</v>
      </c>
      <c r="B102" s="19">
        <v>146</v>
      </c>
      <c r="C102" s="20" t="s">
        <v>365</v>
      </c>
      <c r="D102" s="18" t="s">
        <v>100</v>
      </c>
      <c r="E102" s="18">
        <v>1</v>
      </c>
      <c r="F102" s="18" t="s">
        <v>234</v>
      </c>
      <c r="G102" s="20"/>
      <c r="H102" s="18">
        <v>200</v>
      </c>
      <c r="I102" s="18">
        <v>600</v>
      </c>
      <c r="J102" s="18">
        <v>1500</v>
      </c>
      <c r="K102" s="35"/>
      <c r="L102" s="36">
        <f>L107</f>
        <v>294</v>
      </c>
      <c r="M102" s="35">
        <v>0.4</v>
      </c>
      <c r="N102" s="36">
        <f t="shared" si="3"/>
        <v>118</v>
      </c>
      <c r="O102" s="37"/>
      <c r="P102" s="38" t="s">
        <v>17</v>
      </c>
    </row>
    <row r="103" spans="1:16" s="2" customFormat="1" ht="18" customHeight="1">
      <c r="A103" s="18">
        <v>101</v>
      </c>
      <c r="B103" s="19">
        <v>147</v>
      </c>
      <c r="C103" s="20" t="s">
        <v>289</v>
      </c>
      <c r="D103" s="18" t="s">
        <v>100</v>
      </c>
      <c r="E103" s="18">
        <v>1</v>
      </c>
      <c r="F103" s="18" t="s">
        <v>234</v>
      </c>
      <c r="G103" s="20"/>
      <c r="H103" s="18">
        <v>200</v>
      </c>
      <c r="I103" s="18">
        <v>600</v>
      </c>
      <c r="J103" s="18">
        <v>1000</v>
      </c>
      <c r="K103" s="35"/>
      <c r="L103" s="36">
        <f>ROUND((153+168+178+179.1)/4,0)</f>
        <v>170</v>
      </c>
      <c r="M103" s="35">
        <v>0.4</v>
      </c>
      <c r="N103" s="36">
        <f t="shared" si="3"/>
        <v>68</v>
      </c>
      <c r="O103" s="37"/>
      <c r="P103" s="38" t="s">
        <v>17</v>
      </c>
    </row>
    <row r="104" spans="1:16" s="2" customFormat="1" ht="18" customHeight="1">
      <c r="A104" s="18">
        <v>102</v>
      </c>
      <c r="B104" s="19">
        <v>148</v>
      </c>
      <c r="C104" s="20" t="s">
        <v>289</v>
      </c>
      <c r="D104" s="18" t="s">
        <v>100</v>
      </c>
      <c r="E104" s="18">
        <v>1</v>
      </c>
      <c r="F104" s="18" t="s">
        <v>234</v>
      </c>
      <c r="G104" s="20"/>
      <c r="H104" s="18">
        <v>200</v>
      </c>
      <c r="I104" s="18">
        <v>200</v>
      </c>
      <c r="J104" s="18">
        <v>1000</v>
      </c>
      <c r="K104" s="35"/>
      <c r="L104" s="36">
        <f>ROUND((153+168+178+179.1)/4,0)</f>
        <v>170</v>
      </c>
      <c r="M104" s="35">
        <v>0.4</v>
      </c>
      <c r="N104" s="36">
        <f t="shared" si="3"/>
        <v>68</v>
      </c>
      <c r="O104" s="37"/>
      <c r="P104" s="38" t="s">
        <v>17</v>
      </c>
    </row>
    <row r="105" spans="1:16" s="2" customFormat="1" ht="18" customHeight="1">
      <c r="A105" s="18">
        <v>103</v>
      </c>
      <c r="B105" s="19">
        <v>149</v>
      </c>
      <c r="C105" s="20" t="s">
        <v>289</v>
      </c>
      <c r="D105" s="18" t="s">
        <v>100</v>
      </c>
      <c r="E105" s="18">
        <v>1</v>
      </c>
      <c r="F105" s="18" t="s">
        <v>234</v>
      </c>
      <c r="G105" s="20"/>
      <c r="H105" s="18">
        <v>200</v>
      </c>
      <c r="I105" s="18">
        <v>200</v>
      </c>
      <c r="J105" s="18">
        <v>1000</v>
      </c>
      <c r="K105" s="35"/>
      <c r="L105" s="36">
        <f>ROUND((153+168+178+179.1)/4,0)</f>
        <v>170</v>
      </c>
      <c r="M105" s="35">
        <v>0.4</v>
      </c>
      <c r="N105" s="36">
        <f t="shared" si="3"/>
        <v>68</v>
      </c>
      <c r="O105" s="37"/>
      <c r="P105" s="38" t="s">
        <v>17</v>
      </c>
    </row>
    <row r="106" spans="1:16" s="2" customFormat="1" ht="18" customHeight="1">
      <c r="A106" s="18">
        <v>104</v>
      </c>
      <c r="B106" s="19">
        <v>150</v>
      </c>
      <c r="C106" s="20" t="s">
        <v>289</v>
      </c>
      <c r="D106" s="18" t="s">
        <v>100</v>
      </c>
      <c r="E106" s="18">
        <v>1</v>
      </c>
      <c r="F106" s="18" t="s">
        <v>234</v>
      </c>
      <c r="G106" s="20"/>
      <c r="H106" s="18">
        <v>200</v>
      </c>
      <c r="I106" s="18">
        <v>200</v>
      </c>
      <c r="J106" s="18">
        <v>1000</v>
      </c>
      <c r="K106" s="35"/>
      <c r="L106" s="36">
        <f>ROUND((153+168+178+179.1)/4,0)</f>
        <v>170</v>
      </c>
      <c r="M106" s="35">
        <v>0.4</v>
      </c>
      <c r="N106" s="36">
        <f t="shared" si="3"/>
        <v>68</v>
      </c>
      <c r="O106" s="37"/>
      <c r="P106" s="38" t="s">
        <v>17</v>
      </c>
    </row>
    <row r="107" spans="1:16" s="2" customFormat="1" ht="18" customHeight="1">
      <c r="A107" s="18">
        <v>105</v>
      </c>
      <c r="B107" s="19">
        <v>151</v>
      </c>
      <c r="C107" s="20" t="s">
        <v>344</v>
      </c>
      <c r="D107" s="18" t="s">
        <v>100</v>
      </c>
      <c r="E107" s="18">
        <v>1</v>
      </c>
      <c r="F107" s="18" t="s">
        <v>234</v>
      </c>
      <c r="G107" s="20"/>
      <c r="H107" s="18">
        <v>300</v>
      </c>
      <c r="I107" s="18">
        <v>250</v>
      </c>
      <c r="J107" s="18">
        <v>1500</v>
      </c>
      <c r="K107" s="35"/>
      <c r="L107" s="36">
        <f>L109</f>
        <v>294</v>
      </c>
      <c r="M107" s="35">
        <v>0.4</v>
      </c>
      <c r="N107" s="36">
        <f t="shared" si="3"/>
        <v>118</v>
      </c>
      <c r="O107" s="37"/>
      <c r="P107" s="38" t="s">
        <v>17</v>
      </c>
    </row>
    <row r="108" spans="1:16" s="2" customFormat="1" ht="18" customHeight="1">
      <c r="A108" s="18">
        <v>106</v>
      </c>
      <c r="B108" s="19">
        <v>152</v>
      </c>
      <c r="C108" s="20" t="s">
        <v>332</v>
      </c>
      <c r="D108" s="18" t="s">
        <v>100</v>
      </c>
      <c r="E108" s="18">
        <v>1</v>
      </c>
      <c r="F108" s="18" t="s">
        <v>234</v>
      </c>
      <c r="G108" s="20"/>
      <c r="H108" s="18">
        <v>300</v>
      </c>
      <c r="I108" s="18">
        <v>200</v>
      </c>
      <c r="J108" s="18">
        <v>800</v>
      </c>
      <c r="K108" s="35"/>
      <c r="L108" s="36">
        <f>ROUND((153+168+178+179.1)/4,0)</f>
        <v>170</v>
      </c>
      <c r="M108" s="35">
        <v>0.4</v>
      </c>
      <c r="N108" s="36">
        <f t="shared" si="3"/>
        <v>68</v>
      </c>
      <c r="O108" s="37"/>
      <c r="P108" s="38" t="s">
        <v>17</v>
      </c>
    </row>
    <row r="109" spans="1:16" s="2" customFormat="1" ht="18" customHeight="1">
      <c r="A109" s="18">
        <v>107</v>
      </c>
      <c r="B109" s="19">
        <v>154</v>
      </c>
      <c r="C109" s="20" t="s">
        <v>353</v>
      </c>
      <c r="D109" s="18" t="s">
        <v>100</v>
      </c>
      <c r="E109" s="18">
        <v>1</v>
      </c>
      <c r="F109" s="18" t="s">
        <v>234</v>
      </c>
      <c r="G109" s="20"/>
      <c r="H109" s="18">
        <v>200</v>
      </c>
      <c r="I109" s="18">
        <v>200</v>
      </c>
      <c r="J109" s="18">
        <v>1000</v>
      </c>
      <c r="K109" s="35"/>
      <c r="L109" s="36">
        <f>L119</f>
        <v>294</v>
      </c>
      <c r="M109" s="35">
        <v>0.5</v>
      </c>
      <c r="N109" s="36">
        <f t="shared" si="3"/>
        <v>147</v>
      </c>
      <c r="O109" s="37"/>
      <c r="P109" s="38" t="s">
        <v>17</v>
      </c>
    </row>
    <row r="110" spans="1:16" s="2" customFormat="1" ht="18" customHeight="1">
      <c r="A110" s="18">
        <v>108</v>
      </c>
      <c r="B110" s="19">
        <v>155</v>
      </c>
      <c r="C110" s="20" t="s">
        <v>366</v>
      </c>
      <c r="D110" s="18" t="s">
        <v>100</v>
      </c>
      <c r="E110" s="18">
        <v>1</v>
      </c>
      <c r="F110" s="18" t="s">
        <v>234</v>
      </c>
      <c r="G110" s="20"/>
      <c r="H110" s="18">
        <v>200</v>
      </c>
      <c r="I110" s="18">
        <v>200</v>
      </c>
      <c r="J110" s="18">
        <v>1000</v>
      </c>
      <c r="K110" s="35"/>
      <c r="L110" s="36">
        <f>L108</f>
        <v>170</v>
      </c>
      <c r="M110" s="35">
        <v>0.4</v>
      </c>
      <c r="N110" s="36">
        <f t="shared" si="3"/>
        <v>68</v>
      </c>
      <c r="O110" s="37"/>
      <c r="P110" s="38" t="s">
        <v>17</v>
      </c>
    </row>
    <row r="111" spans="1:16" s="2" customFormat="1" ht="18" customHeight="1">
      <c r="A111" s="18">
        <v>109</v>
      </c>
      <c r="B111" s="19">
        <v>156</v>
      </c>
      <c r="C111" s="20" t="s">
        <v>366</v>
      </c>
      <c r="D111" s="18" t="s">
        <v>100</v>
      </c>
      <c r="E111" s="18">
        <v>1</v>
      </c>
      <c r="F111" s="18" t="s">
        <v>234</v>
      </c>
      <c r="G111" s="20"/>
      <c r="H111" s="18">
        <v>200</v>
      </c>
      <c r="I111" s="18">
        <v>100</v>
      </c>
      <c r="J111" s="18">
        <v>1000</v>
      </c>
      <c r="K111" s="35"/>
      <c r="L111" s="36">
        <f>L112</f>
        <v>170</v>
      </c>
      <c r="M111" s="35">
        <v>0.4</v>
      </c>
      <c r="N111" s="36">
        <f t="shared" si="3"/>
        <v>68</v>
      </c>
      <c r="O111" s="37"/>
      <c r="P111" s="38" t="s">
        <v>17</v>
      </c>
    </row>
    <row r="112" spans="1:16" s="2" customFormat="1" ht="18" customHeight="1">
      <c r="A112" s="18">
        <v>110</v>
      </c>
      <c r="B112" s="19">
        <v>157</v>
      </c>
      <c r="C112" s="20" t="s">
        <v>289</v>
      </c>
      <c r="D112" s="18" t="s">
        <v>100</v>
      </c>
      <c r="E112" s="18">
        <v>1</v>
      </c>
      <c r="F112" s="18" t="s">
        <v>234</v>
      </c>
      <c r="G112" s="20"/>
      <c r="H112" s="18">
        <v>200</v>
      </c>
      <c r="I112" s="18">
        <v>500</v>
      </c>
      <c r="J112" s="18">
        <v>2000</v>
      </c>
      <c r="K112" s="35"/>
      <c r="L112" s="36">
        <f>ROUND((153+168+178+179.1)/4,0)</f>
        <v>170</v>
      </c>
      <c r="M112" s="35">
        <v>0.4</v>
      </c>
      <c r="N112" s="36">
        <f t="shared" si="3"/>
        <v>68</v>
      </c>
      <c r="O112" s="37"/>
      <c r="P112" s="38" t="s">
        <v>17</v>
      </c>
    </row>
    <row r="113" spans="1:16" s="2" customFormat="1" ht="18" customHeight="1">
      <c r="A113" s="18">
        <v>111</v>
      </c>
      <c r="B113" s="19">
        <v>158</v>
      </c>
      <c r="C113" s="20" t="s">
        <v>367</v>
      </c>
      <c r="D113" s="18" t="s">
        <v>100</v>
      </c>
      <c r="E113" s="18">
        <v>1</v>
      </c>
      <c r="F113" s="18" t="s">
        <v>234</v>
      </c>
      <c r="G113" s="20" t="s">
        <v>368</v>
      </c>
      <c r="H113" s="18">
        <v>300</v>
      </c>
      <c r="I113" s="18">
        <v>500</v>
      </c>
      <c r="J113" s="18">
        <v>3000</v>
      </c>
      <c r="K113" s="35"/>
      <c r="L113" s="36">
        <f>L114</f>
        <v>294</v>
      </c>
      <c r="M113" s="35">
        <v>0.5</v>
      </c>
      <c r="N113" s="36">
        <f t="shared" si="3"/>
        <v>147</v>
      </c>
      <c r="O113" s="37"/>
      <c r="P113" s="38" t="s">
        <v>17</v>
      </c>
    </row>
    <row r="114" spans="1:16" s="2" customFormat="1" ht="18" customHeight="1">
      <c r="A114" s="18">
        <v>112</v>
      </c>
      <c r="B114" s="19">
        <v>159</v>
      </c>
      <c r="C114" s="20" t="s">
        <v>369</v>
      </c>
      <c r="D114" s="18" t="s">
        <v>100</v>
      </c>
      <c r="E114" s="18">
        <v>1</v>
      </c>
      <c r="F114" s="18" t="s">
        <v>234</v>
      </c>
      <c r="G114" s="20"/>
      <c r="H114" s="18">
        <v>300</v>
      </c>
      <c r="I114" s="18">
        <v>1000</v>
      </c>
      <c r="J114" s="18">
        <v>1800</v>
      </c>
      <c r="K114" s="35"/>
      <c r="L114" s="36">
        <f>ROUND((268+299+316)/3,0)</f>
        <v>294</v>
      </c>
      <c r="M114" s="35">
        <v>0.4</v>
      </c>
      <c r="N114" s="36">
        <f t="shared" si="3"/>
        <v>118</v>
      </c>
      <c r="O114" s="37"/>
      <c r="P114" s="38" t="s">
        <v>17</v>
      </c>
    </row>
    <row r="115" spans="1:16" s="2" customFormat="1" ht="18" customHeight="1">
      <c r="A115" s="18">
        <v>113</v>
      </c>
      <c r="B115" s="19">
        <v>160</v>
      </c>
      <c r="C115" s="20" t="s">
        <v>253</v>
      </c>
      <c r="D115" s="18" t="s">
        <v>100</v>
      </c>
      <c r="E115" s="18">
        <v>1</v>
      </c>
      <c r="F115" s="18" t="s">
        <v>234</v>
      </c>
      <c r="G115" s="20"/>
      <c r="H115" s="18">
        <v>200</v>
      </c>
      <c r="I115" s="18">
        <v>500</v>
      </c>
      <c r="J115" s="18">
        <v>2000</v>
      </c>
      <c r="K115" s="35"/>
      <c r="L115" s="36">
        <f aca="true" t="shared" si="5" ref="L115:L122">ROUND((268+299+316)/3,0)</f>
        <v>294</v>
      </c>
      <c r="M115" s="35">
        <v>0.4</v>
      </c>
      <c r="N115" s="36">
        <f t="shared" si="3"/>
        <v>118</v>
      </c>
      <c r="O115" s="37"/>
      <c r="P115" s="38" t="s">
        <v>17</v>
      </c>
    </row>
    <row r="116" spans="1:16" s="2" customFormat="1" ht="18" customHeight="1">
      <c r="A116" s="18">
        <v>114</v>
      </c>
      <c r="B116" s="19">
        <v>161</v>
      </c>
      <c r="C116" s="20" t="s">
        <v>253</v>
      </c>
      <c r="D116" s="18" t="s">
        <v>100</v>
      </c>
      <c r="E116" s="18">
        <v>1</v>
      </c>
      <c r="F116" s="18" t="s">
        <v>234</v>
      </c>
      <c r="G116" s="20"/>
      <c r="H116" s="18">
        <v>200</v>
      </c>
      <c r="I116" s="18">
        <v>600</v>
      </c>
      <c r="J116" s="18">
        <v>2000</v>
      </c>
      <c r="K116" s="35"/>
      <c r="L116" s="36">
        <f t="shared" si="5"/>
        <v>294</v>
      </c>
      <c r="M116" s="35">
        <v>0.4</v>
      </c>
      <c r="N116" s="36">
        <f t="shared" si="3"/>
        <v>118</v>
      </c>
      <c r="O116" s="37"/>
      <c r="P116" s="38" t="s">
        <v>17</v>
      </c>
    </row>
    <row r="117" spans="1:16" s="2" customFormat="1" ht="18" customHeight="1">
      <c r="A117" s="18">
        <v>115</v>
      </c>
      <c r="B117" s="19">
        <v>162</v>
      </c>
      <c r="C117" s="20" t="s">
        <v>253</v>
      </c>
      <c r="D117" s="18" t="s">
        <v>100</v>
      </c>
      <c r="E117" s="18">
        <v>1</v>
      </c>
      <c r="F117" s="18" t="s">
        <v>234</v>
      </c>
      <c r="G117" s="20"/>
      <c r="H117" s="18">
        <v>200</v>
      </c>
      <c r="I117" s="18">
        <v>1000</v>
      </c>
      <c r="J117" s="18">
        <v>2000</v>
      </c>
      <c r="K117" s="35"/>
      <c r="L117" s="36">
        <f t="shared" si="5"/>
        <v>294</v>
      </c>
      <c r="M117" s="35">
        <v>0.4</v>
      </c>
      <c r="N117" s="36">
        <f t="shared" si="3"/>
        <v>118</v>
      </c>
      <c r="O117" s="37"/>
      <c r="P117" s="38" t="s">
        <v>17</v>
      </c>
    </row>
    <row r="118" spans="1:16" s="2" customFormat="1" ht="18" customHeight="1">
      <c r="A118" s="18">
        <v>116</v>
      </c>
      <c r="B118" s="19">
        <v>163</v>
      </c>
      <c r="C118" s="20" t="s">
        <v>253</v>
      </c>
      <c r="D118" s="18" t="s">
        <v>100</v>
      </c>
      <c r="E118" s="18">
        <v>1</v>
      </c>
      <c r="F118" s="18" t="s">
        <v>234</v>
      </c>
      <c r="G118" s="20"/>
      <c r="H118" s="18">
        <v>200</v>
      </c>
      <c r="I118" s="18">
        <v>800</v>
      </c>
      <c r="J118" s="18">
        <v>2000</v>
      </c>
      <c r="K118" s="35"/>
      <c r="L118" s="36">
        <f t="shared" si="5"/>
        <v>294</v>
      </c>
      <c r="M118" s="35">
        <v>0.4</v>
      </c>
      <c r="N118" s="36">
        <f t="shared" si="3"/>
        <v>118</v>
      </c>
      <c r="O118" s="37"/>
      <c r="P118" s="38" t="s">
        <v>17</v>
      </c>
    </row>
    <row r="119" spans="1:16" s="2" customFormat="1" ht="18" customHeight="1">
      <c r="A119" s="18">
        <v>117</v>
      </c>
      <c r="B119" s="19">
        <v>164</v>
      </c>
      <c r="C119" s="20" t="s">
        <v>369</v>
      </c>
      <c r="D119" s="18" t="s">
        <v>100</v>
      </c>
      <c r="E119" s="18">
        <v>1</v>
      </c>
      <c r="F119" s="18" t="s">
        <v>234</v>
      </c>
      <c r="G119" s="20"/>
      <c r="H119" s="18">
        <v>300</v>
      </c>
      <c r="I119" s="18">
        <v>1500</v>
      </c>
      <c r="J119" s="18">
        <v>1800</v>
      </c>
      <c r="K119" s="35"/>
      <c r="L119" s="36">
        <f t="shared" si="5"/>
        <v>294</v>
      </c>
      <c r="M119" s="35">
        <v>0.6</v>
      </c>
      <c r="N119" s="36">
        <f t="shared" si="3"/>
        <v>176</v>
      </c>
      <c r="O119" s="37"/>
      <c r="P119" s="38" t="s">
        <v>17</v>
      </c>
    </row>
    <row r="120" spans="1:16" s="2" customFormat="1" ht="18" customHeight="1">
      <c r="A120" s="18">
        <v>118</v>
      </c>
      <c r="B120" s="19">
        <v>165</v>
      </c>
      <c r="C120" s="20" t="s">
        <v>370</v>
      </c>
      <c r="D120" s="18" t="s">
        <v>100</v>
      </c>
      <c r="E120" s="18">
        <v>1</v>
      </c>
      <c r="F120" s="18" t="s">
        <v>234</v>
      </c>
      <c r="G120" s="20"/>
      <c r="H120" s="18">
        <v>200</v>
      </c>
      <c r="I120" s="18">
        <v>500</v>
      </c>
      <c r="J120" s="18">
        <v>3000</v>
      </c>
      <c r="K120" s="35"/>
      <c r="L120" s="36">
        <f t="shared" si="5"/>
        <v>294</v>
      </c>
      <c r="M120" s="35">
        <v>0.4</v>
      </c>
      <c r="N120" s="36">
        <f t="shared" si="3"/>
        <v>118</v>
      </c>
      <c r="O120" s="37"/>
      <c r="P120" s="38" t="s">
        <v>17</v>
      </c>
    </row>
    <row r="121" spans="1:16" s="2" customFormat="1" ht="18" customHeight="1">
      <c r="A121" s="18">
        <v>119</v>
      </c>
      <c r="B121" s="19">
        <v>166</v>
      </c>
      <c r="C121" s="20" t="s">
        <v>253</v>
      </c>
      <c r="D121" s="18" t="s">
        <v>100</v>
      </c>
      <c r="E121" s="18">
        <v>1</v>
      </c>
      <c r="F121" s="18" t="s">
        <v>234</v>
      </c>
      <c r="G121" s="20"/>
      <c r="H121" s="18">
        <v>300</v>
      </c>
      <c r="I121" s="18">
        <v>1000</v>
      </c>
      <c r="J121" s="18">
        <v>2000</v>
      </c>
      <c r="K121" s="35"/>
      <c r="L121" s="36">
        <f t="shared" si="5"/>
        <v>294</v>
      </c>
      <c r="M121" s="35">
        <v>0.4</v>
      </c>
      <c r="N121" s="36">
        <f t="shared" si="3"/>
        <v>118</v>
      </c>
      <c r="O121" s="37"/>
      <c r="P121" s="38" t="s">
        <v>17</v>
      </c>
    </row>
    <row r="122" spans="1:16" s="2" customFormat="1" ht="18" customHeight="1">
      <c r="A122" s="18">
        <v>120</v>
      </c>
      <c r="B122" s="19">
        <v>167</v>
      </c>
      <c r="C122" s="20" t="s">
        <v>253</v>
      </c>
      <c r="D122" s="18" t="s">
        <v>100</v>
      </c>
      <c r="E122" s="18">
        <v>1</v>
      </c>
      <c r="F122" s="18" t="s">
        <v>234</v>
      </c>
      <c r="G122" s="20"/>
      <c r="H122" s="18">
        <v>300</v>
      </c>
      <c r="I122" s="18">
        <v>200</v>
      </c>
      <c r="J122" s="18">
        <v>1000</v>
      </c>
      <c r="K122" s="35"/>
      <c r="L122" s="36">
        <f t="shared" si="5"/>
        <v>294</v>
      </c>
      <c r="M122" s="35">
        <v>0.4</v>
      </c>
      <c r="N122" s="36">
        <f t="shared" si="3"/>
        <v>118</v>
      </c>
      <c r="O122" s="37"/>
      <c r="P122" s="38" t="s">
        <v>17</v>
      </c>
    </row>
    <row r="123" spans="1:16" s="2" customFormat="1" ht="18" customHeight="1">
      <c r="A123" s="18">
        <v>121</v>
      </c>
      <c r="B123" s="19">
        <v>168</v>
      </c>
      <c r="C123" s="20" t="s">
        <v>353</v>
      </c>
      <c r="D123" s="18" t="s">
        <v>100</v>
      </c>
      <c r="E123" s="18">
        <v>1</v>
      </c>
      <c r="F123" s="18" t="s">
        <v>234</v>
      </c>
      <c r="G123" s="20"/>
      <c r="H123" s="18">
        <v>200</v>
      </c>
      <c r="I123" s="18">
        <v>50</v>
      </c>
      <c r="J123" s="18">
        <v>500</v>
      </c>
      <c r="K123" s="35"/>
      <c r="L123" s="36">
        <f>ROUND((153+168+178+179.1)/4,0)</f>
        <v>170</v>
      </c>
      <c r="M123" s="35">
        <v>0.3</v>
      </c>
      <c r="N123" s="36">
        <f t="shared" si="3"/>
        <v>51</v>
      </c>
      <c r="O123" s="37" t="s">
        <v>371</v>
      </c>
      <c r="P123" s="38" t="s">
        <v>17</v>
      </c>
    </row>
    <row r="124" spans="1:16" s="2" customFormat="1" ht="18" customHeight="1">
      <c r="A124" s="18">
        <v>122</v>
      </c>
      <c r="B124" s="19">
        <v>169</v>
      </c>
      <c r="C124" s="20" t="s">
        <v>341</v>
      </c>
      <c r="D124" s="18" t="s">
        <v>100</v>
      </c>
      <c r="E124" s="18">
        <v>1</v>
      </c>
      <c r="F124" s="18" t="s">
        <v>234</v>
      </c>
      <c r="G124" s="20"/>
      <c r="H124" s="18">
        <v>200</v>
      </c>
      <c r="I124" s="18">
        <v>200</v>
      </c>
      <c r="J124" s="18">
        <v>1000</v>
      </c>
      <c r="K124" s="35"/>
      <c r="L124" s="36">
        <f>ROUND((153+168+178+179.1)/4,0)</f>
        <v>170</v>
      </c>
      <c r="M124" s="35">
        <v>0.4</v>
      </c>
      <c r="N124" s="36">
        <f t="shared" si="3"/>
        <v>68</v>
      </c>
      <c r="O124" s="37"/>
      <c r="P124" s="38" t="s">
        <v>17</v>
      </c>
    </row>
    <row r="125" spans="1:16" s="2" customFormat="1" ht="18" customHeight="1">
      <c r="A125" s="18">
        <v>123</v>
      </c>
      <c r="B125" s="19">
        <v>170</v>
      </c>
      <c r="C125" s="20" t="s">
        <v>372</v>
      </c>
      <c r="D125" s="18" t="s">
        <v>100</v>
      </c>
      <c r="E125" s="18">
        <v>1</v>
      </c>
      <c r="F125" s="18" t="s">
        <v>234</v>
      </c>
      <c r="G125" s="20"/>
      <c r="H125" s="18">
        <v>200</v>
      </c>
      <c r="I125" s="18">
        <v>300</v>
      </c>
      <c r="J125" s="18">
        <v>1000</v>
      </c>
      <c r="K125" s="35"/>
      <c r="L125" s="36">
        <f>L145</f>
        <v>352</v>
      </c>
      <c r="M125" s="35">
        <v>0.4</v>
      </c>
      <c r="N125" s="36">
        <f t="shared" si="3"/>
        <v>141</v>
      </c>
      <c r="O125" s="37"/>
      <c r="P125" s="38" t="s">
        <v>17</v>
      </c>
    </row>
    <row r="126" spans="1:16" s="2" customFormat="1" ht="18" customHeight="1">
      <c r="A126" s="18">
        <v>124</v>
      </c>
      <c r="B126" s="19">
        <v>171</v>
      </c>
      <c r="C126" s="20" t="s">
        <v>332</v>
      </c>
      <c r="D126" s="18" t="s">
        <v>100</v>
      </c>
      <c r="E126" s="18">
        <v>1</v>
      </c>
      <c r="F126" s="18" t="s">
        <v>234</v>
      </c>
      <c r="G126" s="20"/>
      <c r="H126" s="18">
        <v>300</v>
      </c>
      <c r="I126" s="18">
        <v>300</v>
      </c>
      <c r="J126" s="18">
        <v>1000</v>
      </c>
      <c r="K126" s="35"/>
      <c r="L126" s="36">
        <f>L121</f>
        <v>294</v>
      </c>
      <c r="M126" s="35">
        <v>0.4</v>
      </c>
      <c r="N126" s="36">
        <f t="shared" si="3"/>
        <v>118</v>
      </c>
      <c r="O126" s="37"/>
      <c r="P126" s="38" t="s">
        <v>17</v>
      </c>
    </row>
    <row r="127" spans="1:16" s="2" customFormat="1" ht="18" customHeight="1">
      <c r="A127" s="18">
        <v>125</v>
      </c>
      <c r="B127" s="19">
        <v>172</v>
      </c>
      <c r="C127" s="20" t="s">
        <v>367</v>
      </c>
      <c r="D127" s="18" t="s">
        <v>100</v>
      </c>
      <c r="E127" s="18">
        <v>1</v>
      </c>
      <c r="F127" s="18" t="s">
        <v>234</v>
      </c>
      <c r="G127" s="20"/>
      <c r="H127" s="18">
        <v>300</v>
      </c>
      <c r="I127" s="18">
        <v>600</v>
      </c>
      <c r="J127" s="18">
        <v>3000</v>
      </c>
      <c r="K127" s="35"/>
      <c r="L127" s="36">
        <f>L121</f>
        <v>294</v>
      </c>
      <c r="M127" s="35">
        <v>0.4</v>
      </c>
      <c r="N127" s="36">
        <f t="shared" si="3"/>
        <v>118</v>
      </c>
      <c r="O127" s="37"/>
      <c r="P127" s="38" t="s">
        <v>17</v>
      </c>
    </row>
    <row r="128" spans="1:16" s="2" customFormat="1" ht="18" customHeight="1">
      <c r="A128" s="18">
        <v>126</v>
      </c>
      <c r="B128" s="19">
        <v>173</v>
      </c>
      <c r="C128" s="20" t="s">
        <v>348</v>
      </c>
      <c r="D128" s="18" t="s">
        <v>100</v>
      </c>
      <c r="E128" s="18">
        <v>1</v>
      </c>
      <c r="F128" s="18" t="s">
        <v>234</v>
      </c>
      <c r="G128" s="20"/>
      <c r="H128" s="18">
        <v>100</v>
      </c>
      <c r="I128" s="18">
        <v>500</v>
      </c>
      <c r="J128" s="18">
        <v>1000</v>
      </c>
      <c r="K128" s="35"/>
      <c r="L128" s="36">
        <f>L154</f>
        <v>352</v>
      </c>
      <c r="M128" s="35">
        <v>0.4</v>
      </c>
      <c r="N128" s="36">
        <f t="shared" si="3"/>
        <v>141</v>
      </c>
      <c r="O128" s="37"/>
      <c r="P128" s="38" t="s">
        <v>17</v>
      </c>
    </row>
    <row r="129" spans="1:16" s="2" customFormat="1" ht="18" customHeight="1">
      <c r="A129" s="18">
        <v>127</v>
      </c>
      <c r="B129" s="19">
        <v>176</v>
      </c>
      <c r="C129" s="20" t="s">
        <v>364</v>
      </c>
      <c r="D129" s="18" t="s">
        <v>100</v>
      </c>
      <c r="E129" s="18">
        <v>1</v>
      </c>
      <c r="F129" s="18" t="s">
        <v>234</v>
      </c>
      <c r="G129" s="20"/>
      <c r="H129" s="18">
        <v>300</v>
      </c>
      <c r="I129" s="18">
        <v>500</v>
      </c>
      <c r="J129" s="18">
        <v>1800</v>
      </c>
      <c r="K129" s="35"/>
      <c r="L129" s="36">
        <f>L122</f>
        <v>294</v>
      </c>
      <c r="M129" s="35">
        <v>0.4</v>
      </c>
      <c r="N129" s="36">
        <f t="shared" si="3"/>
        <v>118</v>
      </c>
      <c r="O129" s="37"/>
      <c r="P129" s="38" t="s">
        <v>17</v>
      </c>
    </row>
    <row r="130" spans="1:16" s="2" customFormat="1" ht="18" customHeight="1">
      <c r="A130" s="18">
        <v>128</v>
      </c>
      <c r="B130" s="19">
        <v>177</v>
      </c>
      <c r="C130" s="20" t="s">
        <v>373</v>
      </c>
      <c r="D130" s="18" t="s">
        <v>100</v>
      </c>
      <c r="E130" s="18">
        <v>1</v>
      </c>
      <c r="F130" s="18" t="s">
        <v>287</v>
      </c>
      <c r="G130" s="20"/>
      <c r="H130" s="18">
        <v>200</v>
      </c>
      <c r="I130" s="18"/>
      <c r="J130" s="18">
        <v>800</v>
      </c>
      <c r="K130" s="35"/>
      <c r="L130" s="36">
        <f>ROUND((153+168+178+179.1)/4,0)</f>
        <v>170</v>
      </c>
      <c r="M130" s="35">
        <v>0.4</v>
      </c>
      <c r="N130" s="36">
        <f t="shared" si="3"/>
        <v>68</v>
      </c>
      <c r="O130" s="37"/>
      <c r="P130" s="38" t="s">
        <v>17</v>
      </c>
    </row>
    <row r="131" spans="1:16" s="2" customFormat="1" ht="18" customHeight="1">
      <c r="A131" s="18">
        <v>129</v>
      </c>
      <c r="B131" s="19">
        <v>180</v>
      </c>
      <c r="C131" s="23" t="s">
        <v>374</v>
      </c>
      <c r="D131" s="18" t="s">
        <v>245</v>
      </c>
      <c r="E131" s="18">
        <v>1</v>
      </c>
      <c r="F131" s="18" t="s">
        <v>375</v>
      </c>
      <c r="G131" s="20" t="s">
        <v>376</v>
      </c>
      <c r="H131" s="18">
        <v>500</v>
      </c>
      <c r="I131" s="18">
        <v>1980</v>
      </c>
      <c r="J131" s="18">
        <v>5000</v>
      </c>
      <c r="K131" s="35"/>
      <c r="L131" s="36">
        <f>ROUND((2193+2528.75)/2,0)</f>
        <v>2361</v>
      </c>
      <c r="M131" s="35">
        <v>0.5</v>
      </c>
      <c r="N131" s="36">
        <f t="shared" si="3"/>
        <v>1181</v>
      </c>
      <c r="O131" s="37"/>
      <c r="P131" s="38" t="s">
        <v>110</v>
      </c>
    </row>
    <row r="132" spans="1:16" s="2" customFormat="1" ht="18" customHeight="1">
      <c r="A132" s="18">
        <v>130</v>
      </c>
      <c r="B132" s="19">
        <v>183</v>
      </c>
      <c r="C132" s="20" t="s">
        <v>377</v>
      </c>
      <c r="D132" s="18" t="s">
        <v>100</v>
      </c>
      <c r="E132" s="18">
        <v>1</v>
      </c>
      <c r="F132" s="18" t="s">
        <v>287</v>
      </c>
      <c r="G132" s="20"/>
      <c r="H132" s="18">
        <v>500</v>
      </c>
      <c r="I132" s="18"/>
      <c r="J132" s="18">
        <v>500</v>
      </c>
      <c r="K132" s="35"/>
      <c r="L132" s="36">
        <f>ROUND((448+468+468)/3,0)</f>
        <v>461</v>
      </c>
      <c r="M132" s="35">
        <v>0.4</v>
      </c>
      <c r="N132" s="36">
        <f aca="true" t="shared" si="6" ref="N132:N195">ROUND(L132*M132,0)</f>
        <v>184</v>
      </c>
      <c r="O132" s="37"/>
      <c r="P132" s="38" t="s">
        <v>110</v>
      </c>
    </row>
    <row r="133" spans="1:16" s="2" customFormat="1" ht="18" customHeight="1">
      <c r="A133" s="18">
        <v>131</v>
      </c>
      <c r="B133" s="19">
        <v>184</v>
      </c>
      <c r="C133" s="20" t="s">
        <v>378</v>
      </c>
      <c r="D133" s="18" t="s">
        <v>100</v>
      </c>
      <c r="E133" s="18">
        <v>1</v>
      </c>
      <c r="F133" s="18" t="s">
        <v>287</v>
      </c>
      <c r="G133" s="20"/>
      <c r="H133" s="18">
        <v>1500</v>
      </c>
      <c r="I133" s="18"/>
      <c r="J133" s="18">
        <v>800</v>
      </c>
      <c r="K133" s="35"/>
      <c r="L133" s="36">
        <f>ROUND((448+468+468)/3,0)</f>
        <v>461</v>
      </c>
      <c r="M133" s="35">
        <v>0.4</v>
      </c>
      <c r="N133" s="36">
        <f t="shared" si="6"/>
        <v>184</v>
      </c>
      <c r="O133" s="37"/>
      <c r="P133" s="38" t="s">
        <v>110</v>
      </c>
    </row>
    <row r="134" spans="1:16" s="2" customFormat="1" ht="18" customHeight="1">
      <c r="A134" s="18">
        <v>132</v>
      </c>
      <c r="B134" s="19">
        <v>185</v>
      </c>
      <c r="C134" s="20" t="s">
        <v>329</v>
      </c>
      <c r="D134" s="18" t="s">
        <v>100</v>
      </c>
      <c r="E134" s="18">
        <v>1</v>
      </c>
      <c r="F134" s="18" t="s">
        <v>234</v>
      </c>
      <c r="G134" s="20" t="s">
        <v>379</v>
      </c>
      <c r="H134" s="18">
        <v>500</v>
      </c>
      <c r="I134" s="18">
        <v>1000</v>
      </c>
      <c r="J134" s="18">
        <v>2000</v>
      </c>
      <c r="K134" s="35"/>
      <c r="L134" s="36">
        <f>L145</f>
        <v>352</v>
      </c>
      <c r="M134" s="35">
        <v>0.5</v>
      </c>
      <c r="N134" s="36">
        <f t="shared" si="6"/>
        <v>176</v>
      </c>
      <c r="O134" s="37"/>
      <c r="P134" s="38" t="s">
        <v>110</v>
      </c>
    </row>
    <row r="135" spans="1:16" s="2" customFormat="1" ht="18" customHeight="1">
      <c r="A135" s="18">
        <v>133</v>
      </c>
      <c r="B135" s="19">
        <v>186</v>
      </c>
      <c r="C135" s="20" t="s">
        <v>370</v>
      </c>
      <c r="D135" s="18" t="s">
        <v>100</v>
      </c>
      <c r="E135" s="18">
        <v>1</v>
      </c>
      <c r="F135" s="18" t="s">
        <v>234</v>
      </c>
      <c r="G135" s="20"/>
      <c r="H135" s="18">
        <v>400</v>
      </c>
      <c r="I135" s="18">
        <v>300</v>
      </c>
      <c r="J135" s="18">
        <v>1800</v>
      </c>
      <c r="K135" s="35"/>
      <c r="L135" s="36">
        <f>L136</f>
        <v>170</v>
      </c>
      <c r="M135" s="35">
        <v>0.4</v>
      </c>
      <c r="N135" s="36">
        <f t="shared" si="6"/>
        <v>68</v>
      </c>
      <c r="O135" s="37"/>
      <c r="P135" s="38" t="s">
        <v>110</v>
      </c>
    </row>
    <row r="136" spans="1:16" s="2" customFormat="1" ht="18" customHeight="1">
      <c r="A136" s="18">
        <v>134</v>
      </c>
      <c r="B136" s="19">
        <v>187</v>
      </c>
      <c r="C136" s="20" t="s">
        <v>253</v>
      </c>
      <c r="D136" s="18" t="s">
        <v>100</v>
      </c>
      <c r="E136" s="18">
        <v>1</v>
      </c>
      <c r="F136" s="18" t="s">
        <v>234</v>
      </c>
      <c r="G136" s="20"/>
      <c r="H136" s="18">
        <v>300</v>
      </c>
      <c r="I136" s="18">
        <v>200</v>
      </c>
      <c r="J136" s="18">
        <v>800</v>
      </c>
      <c r="K136" s="35"/>
      <c r="L136" s="36">
        <f>ROUND((153+168+178+179.1)/4,0)</f>
        <v>170</v>
      </c>
      <c r="M136" s="35">
        <v>0.5</v>
      </c>
      <c r="N136" s="36">
        <f t="shared" si="6"/>
        <v>85</v>
      </c>
      <c r="O136" s="37"/>
      <c r="P136" s="38" t="s">
        <v>110</v>
      </c>
    </row>
    <row r="137" spans="1:16" s="2" customFormat="1" ht="18" customHeight="1">
      <c r="A137" s="18">
        <v>135</v>
      </c>
      <c r="B137" s="19">
        <v>188</v>
      </c>
      <c r="C137" s="20" t="s">
        <v>380</v>
      </c>
      <c r="D137" s="18" t="s">
        <v>100</v>
      </c>
      <c r="E137" s="18">
        <v>1</v>
      </c>
      <c r="F137" s="18" t="s">
        <v>234</v>
      </c>
      <c r="G137" s="20"/>
      <c r="H137" s="18">
        <v>500</v>
      </c>
      <c r="I137" s="18">
        <v>500</v>
      </c>
      <c r="J137" s="18">
        <v>1000</v>
      </c>
      <c r="K137" s="35"/>
      <c r="L137" s="36">
        <f>L145</f>
        <v>352</v>
      </c>
      <c r="M137" s="35">
        <v>0.5</v>
      </c>
      <c r="N137" s="36">
        <f t="shared" si="6"/>
        <v>176</v>
      </c>
      <c r="O137" s="37"/>
      <c r="P137" s="38" t="s">
        <v>110</v>
      </c>
    </row>
    <row r="138" spans="1:16" s="2" customFormat="1" ht="18" customHeight="1">
      <c r="A138" s="18">
        <v>136</v>
      </c>
      <c r="B138" s="19">
        <v>189</v>
      </c>
      <c r="C138" s="20" t="s">
        <v>367</v>
      </c>
      <c r="D138" s="18" t="s">
        <v>100</v>
      </c>
      <c r="E138" s="18">
        <v>1</v>
      </c>
      <c r="F138" s="18" t="s">
        <v>234</v>
      </c>
      <c r="G138" s="20" t="s">
        <v>381</v>
      </c>
      <c r="H138" s="18">
        <v>500</v>
      </c>
      <c r="I138" s="18">
        <v>500</v>
      </c>
      <c r="J138" s="18">
        <v>1800</v>
      </c>
      <c r="K138" s="35"/>
      <c r="L138" s="36">
        <f>ROUND((268+299+316)/3,0)</f>
        <v>294</v>
      </c>
      <c r="M138" s="35">
        <v>0.4</v>
      </c>
      <c r="N138" s="36">
        <f t="shared" si="6"/>
        <v>118</v>
      </c>
      <c r="O138" s="37"/>
      <c r="P138" s="38" t="s">
        <v>110</v>
      </c>
    </row>
    <row r="139" spans="1:16" s="2" customFormat="1" ht="18" customHeight="1">
      <c r="A139" s="18">
        <v>137</v>
      </c>
      <c r="B139" s="19">
        <v>190</v>
      </c>
      <c r="C139" s="23" t="s">
        <v>233</v>
      </c>
      <c r="D139" s="18" t="s">
        <v>100</v>
      </c>
      <c r="E139" s="18">
        <v>1</v>
      </c>
      <c r="F139" s="18" t="s">
        <v>234</v>
      </c>
      <c r="G139" s="20" t="s">
        <v>379</v>
      </c>
      <c r="H139" s="18">
        <v>2000</v>
      </c>
      <c r="I139" s="18">
        <v>1000</v>
      </c>
      <c r="J139" s="18">
        <v>2000</v>
      </c>
      <c r="K139" s="35"/>
      <c r="L139" s="36">
        <f>ROUND((697.2+703.2+739.2)/3,0)</f>
        <v>713</v>
      </c>
      <c r="M139" s="35">
        <v>0.5</v>
      </c>
      <c r="N139" s="36">
        <f t="shared" si="6"/>
        <v>357</v>
      </c>
      <c r="O139" s="37"/>
      <c r="P139" s="38" t="s">
        <v>110</v>
      </c>
    </row>
    <row r="140" spans="1:16" s="2" customFormat="1" ht="18" customHeight="1">
      <c r="A140" s="18">
        <v>138</v>
      </c>
      <c r="B140" s="19">
        <v>191</v>
      </c>
      <c r="C140" s="23" t="s">
        <v>233</v>
      </c>
      <c r="D140" s="18" t="s">
        <v>100</v>
      </c>
      <c r="E140" s="18">
        <v>1</v>
      </c>
      <c r="F140" s="18" t="s">
        <v>234</v>
      </c>
      <c r="G140" s="20" t="s">
        <v>379</v>
      </c>
      <c r="H140" s="18">
        <v>2000</v>
      </c>
      <c r="I140" s="18">
        <v>1000</v>
      </c>
      <c r="J140" s="18">
        <v>2000</v>
      </c>
      <c r="K140" s="35"/>
      <c r="L140" s="36">
        <f>ROUND((697.2+703.2+739.2)/3,0)</f>
        <v>713</v>
      </c>
      <c r="M140" s="35">
        <v>0.5</v>
      </c>
      <c r="N140" s="36">
        <f t="shared" si="6"/>
        <v>357</v>
      </c>
      <c r="O140" s="37"/>
      <c r="P140" s="38" t="s">
        <v>110</v>
      </c>
    </row>
    <row r="141" spans="1:16" s="2" customFormat="1" ht="18" customHeight="1">
      <c r="A141" s="18">
        <v>139</v>
      </c>
      <c r="B141" s="19">
        <v>192</v>
      </c>
      <c r="C141" s="20" t="s">
        <v>333</v>
      </c>
      <c r="D141" s="18" t="s">
        <v>100</v>
      </c>
      <c r="E141" s="18">
        <v>1</v>
      </c>
      <c r="F141" s="18" t="s">
        <v>234</v>
      </c>
      <c r="G141" s="20" t="s">
        <v>325</v>
      </c>
      <c r="H141" s="18">
        <v>1800</v>
      </c>
      <c r="I141" s="18">
        <v>2000</v>
      </c>
      <c r="J141" s="18">
        <v>4000</v>
      </c>
      <c r="K141" s="35"/>
      <c r="L141" s="36">
        <f>ROUND((268+299+316)/3,0)</f>
        <v>294</v>
      </c>
      <c r="M141" s="35">
        <v>0.5</v>
      </c>
      <c r="N141" s="36">
        <f t="shared" si="6"/>
        <v>147</v>
      </c>
      <c r="O141" s="37"/>
      <c r="P141" s="38" t="s">
        <v>110</v>
      </c>
    </row>
    <row r="142" spans="1:16" s="2" customFormat="1" ht="18" customHeight="1">
      <c r="A142" s="18">
        <v>140</v>
      </c>
      <c r="B142" s="19">
        <v>193</v>
      </c>
      <c r="C142" s="20" t="s">
        <v>333</v>
      </c>
      <c r="D142" s="18" t="s">
        <v>100</v>
      </c>
      <c r="E142" s="18">
        <v>1</v>
      </c>
      <c r="F142" s="18" t="s">
        <v>234</v>
      </c>
      <c r="G142" s="20" t="s">
        <v>325</v>
      </c>
      <c r="H142" s="18">
        <v>1800</v>
      </c>
      <c r="I142" s="18">
        <v>2000</v>
      </c>
      <c r="J142" s="18">
        <v>4000</v>
      </c>
      <c r="K142" s="35"/>
      <c r="L142" s="36">
        <f>ROUND((268+299+316)/3,0)</f>
        <v>294</v>
      </c>
      <c r="M142" s="35">
        <v>0.5</v>
      </c>
      <c r="N142" s="36">
        <f t="shared" si="6"/>
        <v>147</v>
      </c>
      <c r="O142" s="37"/>
      <c r="P142" s="38" t="s">
        <v>110</v>
      </c>
    </row>
    <row r="143" spans="1:16" s="2" customFormat="1" ht="18" customHeight="1">
      <c r="A143" s="18">
        <v>141</v>
      </c>
      <c r="B143" s="19">
        <v>194</v>
      </c>
      <c r="C143" s="20" t="s">
        <v>382</v>
      </c>
      <c r="D143" s="18" t="s">
        <v>100</v>
      </c>
      <c r="E143" s="18">
        <v>1</v>
      </c>
      <c r="F143" s="18" t="s">
        <v>234</v>
      </c>
      <c r="G143" s="20"/>
      <c r="H143" s="18">
        <v>600</v>
      </c>
      <c r="I143" s="18">
        <v>500</v>
      </c>
      <c r="J143" s="18">
        <v>1500</v>
      </c>
      <c r="K143" s="35"/>
      <c r="L143" s="36">
        <f>ROUND((268+299+316)/3,0)</f>
        <v>294</v>
      </c>
      <c r="M143" s="35">
        <v>0.5</v>
      </c>
      <c r="N143" s="36">
        <f t="shared" si="6"/>
        <v>147</v>
      </c>
      <c r="O143" s="37"/>
      <c r="P143" s="38" t="s">
        <v>110</v>
      </c>
    </row>
    <row r="144" spans="1:16" s="2" customFormat="1" ht="18" customHeight="1">
      <c r="A144" s="18">
        <v>142</v>
      </c>
      <c r="B144" s="19">
        <v>195</v>
      </c>
      <c r="C144" s="20" t="s">
        <v>256</v>
      </c>
      <c r="D144" s="18" t="s">
        <v>100</v>
      </c>
      <c r="E144" s="18">
        <v>1</v>
      </c>
      <c r="F144" s="18" t="s">
        <v>234</v>
      </c>
      <c r="G144" s="20" t="s">
        <v>352</v>
      </c>
      <c r="H144" s="18">
        <v>200</v>
      </c>
      <c r="I144" s="18">
        <v>200</v>
      </c>
      <c r="J144" s="18">
        <v>1000</v>
      </c>
      <c r="K144" s="35"/>
      <c r="L144" s="36">
        <f>ROUND((428+468+578)/3,0)</f>
        <v>491</v>
      </c>
      <c r="M144" s="35">
        <v>0.4</v>
      </c>
      <c r="N144" s="36">
        <f t="shared" si="6"/>
        <v>196</v>
      </c>
      <c r="O144" s="37"/>
      <c r="P144" s="38" t="s">
        <v>110</v>
      </c>
    </row>
    <row r="145" spans="1:16" s="2" customFormat="1" ht="18" customHeight="1">
      <c r="A145" s="18">
        <v>143</v>
      </c>
      <c r="B145" s="19">
        <v>196</v>
      </c>
      <c r="C145" s="20" t="s">
        <v>353</v>
      </c>
      <c r="D145" s="18" t="s">
        <v>100</v>
      </c>
      <c r="E145" s="18">
        <v>1</v>
      </c>
      <c r="F145" s="18" t="s">
        <v>234</v>
      </c>
      <c r="G145" s="20"/>
      <c r="H145" s="18">
        <v>200</v>
      </c>
      <c r="I145" s="18">
        <v>200</v>
      </c>
      <c r="J145" s="18">
        <v>1000</v>
      </c>
      <c r="K145" s="35"/>
      <c r="L145" s="36">
        <f>ROUND((280+368+369+389)/4,0)</f>
        <v>352</v>
      </c>
      <c r="M145" s="35">
        <v>0.4</v>
      </c>
      <c r="N145" s="36">
        <f t="shared" si="6"/>
        <v>141</v>
      </c>
      <c r="O145" s="37"/>
      <c r="P145" s="38" t="s">
        <v>110</v>
      </c>
    </row>
    <row r="146" spans="1:16" s="2" customFormat="1" ht="18" customHeight="1">
      <c r="A146" s="18">
        <v>144</v>
      </c>
      <c r="B146" s="19">
        <v>197</v>
      </c>
      <c r="C146" s="20" t="s">
        <v>253</v>
      </c>
      <c r="D146" s="18" t="s">
        <v>100</v>
      </c>
      <c r="E146" s="18">
        <v>1</v>
      </c>
      <c r="F146" s="18" t="s">
        <v>234</v>
      </c>
      <c r="G146" s="20"/>
      <c r="H146" s="18">
        <v>200</v>
      </c>
      <c r="I146" s="18">
        <v>200</v>
      </c>
      <c r="J146" s="18">
        <v>800</v>
      </c>
      <c r="K146" s="35"/>
      <c r="L146" s="36">
        <f aca="true" t="shared" si="7" ref="L146:L153">ROUND((153+168+178+179.1)/4,0)</f>
        <v>170</v>
      </c>
      <c r="M146" s="35">
        <v>0.4</v>
      </c>
      <c r="N146" s="36">
        <f t="shared" si="6"/>
        <v>68</v>
      </c>
      <c r="O146" s="37"/>
      <c r="P146" s="38" t="s">
        <v>110</v>
      </c>
    </row>
    <row r="147" spans="1:16" s="2" customFormat="1" ht="18" customHeight="1">
      <c r="A147" s="18">
        <v>145</v>
      </c>
      <c r="B147" s="19">
        <v>198</v>
      </c>
      <c r="C147" s="20" t="s">
        <v>253</v>
      </c>
      <c r="D147" s="18" t="s">
        <v>100</v>
      </c>
      <c r="E147" s="18">
        <v>1</v>
      </c>
      <c r="F147" s="18" t="s">
        <v>234</v>
      </c>
      <c r="G147" s="20"/>
      <c r="H147" s="18">
        <v>200</v>
      </c>
      <c r="I147" s="18">
        <v>200</v>
      </c>
      <c r="J147" s="18">
        <v>800</v>
      </c>
      <c r="K147" s="35"/>
      <c r="L147" s="36">
        <f t="shared" si="7"/>
        <v>170</v>
      </c>
      <c r="M147" s="35">
        <v>0.4</v>
      </c>
      <c r="N147" s="36">
        <f t="shared" si="6"/>
        <v>68</v>
      </c>
      <c r="O147" s="37"/>
      <c r="P147" s="38" t="s">
        <v>110</v>
      </c>
    </row>
    <row r="148" spans="1:16" s="2" customFormat="1" ht="18" customHeight="1">
      <c r="A148" s="18">
        <v>146</v>
      </c>
      <c r="B148" s="19">
        <v>199</v>
      </c>
      <c r="C148" s="20" t="s">
        <v>289</v>
      </c>
      <c r="D148" s="18" t="s">
        <v>100</v>
      </c>
      <c r="E148" s="18">
        <v>1</v>
      </c>
      <c r="F148" s="18" t="s">
        <v>234</v>
      </c>
      <c r="G148" s="20"/>
      <c r="H148" s="18">
        <v>200</v>
      </c>
      <c r="I148" s="18">
        <v>200</v>
      </c>
      <c r="J148" s="18">
        <v>800</v>
      </c>
      <c r="K148" s="35"/>
      <c r="L148" s="36">
        <f t="shared" si="7"/>
        <v>170</v>
      </c>
      <c r="M148" s="35">
        <v>0.4</v>
      </c>
      <c r="N148" s="36">
        <f t="shared" si="6"/>
        <v>68</v>
      </c>
      <c r="O148" s="37"/>
      <c r="P148" s="38" t="s">
        <v>110</v>
      </c>
    </row>
    <row r="149" spans="1:16" s="2" customFormat="1" ht="18" customHeight="1">
      <c r="A149" s="18">
        <v>147</v>
      </c>
      <c r="B149" s="19">
        <v>200</v>
      </c>
      <c r="C149" s="20" t="s">
        <v>253</v>
      </c>
      <c r="D149" s="18" t="s">
        <v>100</v>
      </c>
      <c r="E149" s="18">
        <v>1</v>
      </c>
      <c r="F149" s="18" t="s">
        <v>234</v>
      </c>
      <c r="G149" s="20"/>
      <c r="H149" s="18">
        <v>200</v>
      </c>
      <c r="I149" s="18">
        <v>200</v>
      </c>
      <c r="J149" s="18">
        <v>800</v>
      </c>
      <c r="K149" s="35"/>
      <c r="L149" s="36">
        <f t="shared" si="7"/>
        <v>170</v>
      </c>
      <c r="M149" s="35">
        <v>0.4</v>
      </c>
      <c r="N149" s="36">
        <f t="shared" si="6"/>
        <v>68</v>
      </c>
      <c r="O149" s="37"/>
      <c r="P149" s="38" t="s">
        <v>110</v>
      </c>
    </row>
    <row r="150" spans="1:16" s="2" customFormat="1" ht="18" customHeight="1">
      <c r="A150" s="18">
        <v>148</v>
      </c>
      <c r="B150" s="19">
        <v>201</v>
      </c>
      <c r="C150" s="20" t="s">
        <v>253</v>
      </c>
      <c r="D150" s="18" t="s">
        <v>100</v>
      </c>
      <c r="E150" s="18">
        <v>1</v>
      </c>
      <c r="F150" s="18" t="s">
        <v>234</v>
      </c>
      <c r="G150" s="20"/>
      <c r="H150" s="18">
        <v>200</v>
      </c>
      <c r="I150" s="18">
        <v>200</v>
      </c>
      <c r="J150" s="18">
        <v>800</v>
      </c>
      <c r="K150" s="35"/>
      <c r="L150" s="36">
        <f t="shared" si="7"/>
        <v>170</v>
      </c>
      <c r="M150" s="35">
        <v>0.4</v>
      </c>
      <c r="N150" s="36">
        <f t="shared" si="6"/>
        <v>68</v>
      </c>
      <c r="O150" s="37"/>
      <c r="P150" s="38" t="s">
        <v>110</v>
      </c>
    </row>
    <row r="151" spans="1:16" s="2" customFormat="1" ht="18" customHeight="1">
      <c r="A151" s="18">
        <v>149</v>
      </c>
      <c r="B151" s="19">
        <v>202</v>
      </c>
      <c r="C151" s="20" t="s">
        <v>289</v>
      </c>
      <c r="D151" s="18" t="s">
        <v>100</v>
      </c>
      <c r="E151" s="18">
        <v>1</v>
      </c>
      <c r="F151" s="18" t="s">
        <v>234</v>
      </c>
      <c r="G151" s="20"/>
      <c r="H151" s="18">
        <v>200</v>
      </c>
      <c r="I151" s="18">
        <v>200</v>
      </c>
      <c r="J151" s="18">
        <v>800</v>
      </c>
      <c r="K151" s="35"/>
      <c r="L151" s="36">
        <f t="shared" si="7"/>
        <v>170</v>
      </c>
      <c r="M151" s="35">
        <v>0.4</v>
      </c>
      <c r="N151" s="36">
        <f t="shared" si="6"/>
        <v>68</v>
      </c>
      <c r="O151" s="37"/>
      <c r="P151" s="38" t="s">
        <v>110</v>
      </c>
    </row>
    <row r="152" spans="1:16" s="2" customFormat="1" ht="18" customHeight="1">
      <c r="A152" s="18">
        <v>150</v>
      </c>
      <c r="B152" s="19">
        <v>203</v>
      </c>
      <c r="C152" s="20" t="s">
        <v>253</v>
      </c>
      <c r="D152" s="18" t="s">
        <v>100</v>
      </c>
      <c r="E152" s="18">
        <v>1</v>
      </c>
      <c r="F152" s="18" t="s">
        <v>234</v>
      </c>
      <c r="G152" s="20"/>
      <c r="H152" s="18">
        <v>200</v>
      </c>
      <c r="I152" s="18">
        <v>200</v>
      </c>
      <c r="J152" s="18">
        <v>800</v>
      </c>
      <c r="K152" s="35"/>
      <c r="L152" s="36">
        <f t="shared" si="7"/>
        <v>170</v>
      </c>
      <c r="M152" s="35">
        <v>0.4</v>
      </c>
      <c r="N152" s="36">
        <f t="shared" si="6"/>
        <v>68</v>
      </c>
      <c r="O152" s="37"/>
      <c r="P152" s="38" t="s">
        <v>110</v>
      </c>
    </row>
    <row r="153" spans="1:16" s="2" customFormat="1" ht="18" customHeight="1">
      <c r="A153" s="18">
        <v>151</v>
      </c>
      <c r="B153" s="19">
        <v>204</v>
      </c>
      <c r="C153" s="20" t="s">
        <v>253</v>
      </c>
      <c r="D153" s="18" t="s">
        <v>100</v>
      </c>
      <c r="E153" s="18">
        <v>1</v>
      </c>
      <c r="F153" s="18" t="s">
        <v>234</v>
      </c>
      <c r="G153" s="20"/>
      <c r="H153" s="18">
        <v>200</v>
      </c>
      <c r="I153" s="18">
        <v>200</v>
      </c>
      <c r="J153" s="18">
        <v>800</v>
      </c>
      <c r="K153" s="35"/>
      <c r="L153" s="36">
        <f t="shared" si="7"/>
        <v>170</v>
      </c>
      <c r="M153" s="35">
        <v>0.4</v>
      </c>
      <c r="N153" s="36">
        <f t="shared" si="6"/>
        <v>68</v>
      </c>
      <c r="O153" s="37"/>
      <c r="P153" s="38" t="s">
        <v>110</v>
      </c>
    </row>
    <row r="154" spans="1:16" s="2" customFormat="1" ht="18" customHeight="1">
      <c r="A154" s="18">
        <v>152</v>
      </c>
      <c r="B154" s="19">
        <v>205</v>
      </c>
      <c r="C154" s="20" t="s">
        <v>351</v>
      </c>
      <c r="D154" s="18" t="s">
        <v>100</v>
      </c>
      <c r="E154" s="18">
        <v>1</v>
      </c>
      <c r="F154" s="18" t="s">
        <v>234</v>
      </c>
      <c r="G154" s="20"/>
      <c r="H154" s="18">
        <v>300</v>
      </c>
      <c r="I154" s="18">
        <v>200</v>
      </c>
      <c r="J154" s="18">
        <v>1500</v>
      </c>
      <c r="K154" s="35"/>
      <c r="L154" s="36">
        <f>ROUND((280+368+389+369)/4,0)</f>
        <v>352</v>
      </c>
      <c r="M154" s="35">
        <v>0.4</v>
      </c>
      <c r="N154" s="36">
        <f t="shared" si="6"/>
        <v>141</v>
      </c>
      <c r="O154" s="37"/>
      <c r="P154" s="38" t="s">
        <v>110</v>
      </c>
    </row>
    <row r="155" spans="1:16" s="2" customFormat="1" ht="18" customHeight="1">
      <c r="A155" s="18">
        <v>153</v>
      </c>
      <c r="B155" s="19">
        <v>206</v>
      </c>
      <c r="C155" s="20" t="s">
        <v>253</v>
      </c>
      <c r="D155" s="18" t="s">
        <v>100</v>
      </c>
      <c r="E155" s="18">
        <v>1</v>
      </c>
      <c r="F155" s="18" t="s">
        <v>234</v>
      </c>
      <c r="G155" s="20"/>
      <c r="H155" s="18">
        <v>200</v>
      </c>
      <c r="I155" s="18">
        <v>200</v>
      </c>
      <c r="J155" s="18">
        <v>800</v>
      </c>
      <c r="K155" s="35"/>
      <c r="L155" s="36">
        <f aca="true" t="shared" si="8" ref="L155:L172">ROUND((153+168+178+179.1)/4,0)</f>
        <v>170</v>
      </c>
      <c r="M155" s="35">
        <v>0.4</v>
      </c>
      <c r="N155" s="36">
        <f t="shared" si="6"/>
        <v>68</v>
      </c>
      <c r="O155" s="37"/>
      <c r="P155" s="38" t="s">
        <v>110</v>
      </c>
    </row>
    <row r="156" spans="1:16" s="2" customFormat="1" ht="18" customHeight="1">
      <c r="A156" s="18">
        <v>154</v>
      </c>
      <c r="B156" s="19">
        <v>207</v>
      </c>
      <c r="C156" s="20" t="s">
        <v>289</v>
      </c>
      <c r="D156" s="18" t="s">
        <v>100</v>
      </c>
      <c r="E156" s="18">
        <v>1</v>
      </c>
      <c r="F156" s="18" t="s">
        <v>234</v>
      </c>
      <c r="G156" s="20"/>
      <c r="H156" s="18">
        <v>200</v>
      </c>
      <c r="I156" s="18">
        <v>200</v>
      </c>
      <c r="J156" s="18">
        <v>800</v>
      </c>
      <c r="K156" s="35"/>
      <c r="L156" s="36">
        <f t="shared" si="8"/>
        <v>170</v>
      </c>
      <c r="M156" s="35">
        <v>0.4</v>
      </c>
      <c r="N156" s="36">
        <f t="shared" si="6"/>
        <v>68</v>
      </c>
      <c r="O156" s="37"/>
      <c r="P156" s="38" t="s">
        <v>110</v>
      </c>
    </row>
    <row r="157" spans="1:16" s="2" customFormat="1" ht="18" customHeight="1">
      <c r="A157" s="18">
        <v>155</v>
      </c>
      <c r="B157" s="19">
        <v>208</v>
      </c>
      <c r="C157" s="20" t="s">
        <v>253</v>
      </c>
      <c r="D157" s="18" t="s">
        <v>100</v>
      </c>
      <c r="E157" s="18">
        <v>1</v>
      </c>
      <c r="F157" s="18" t="s">
        <v>234</v>
      </c>
      <c r="G157" s="20"/>
      <c r="H157" s="18">
        <v>200</v>
      </c>
      <c r="I157" s="18">
        <v>200</v>
      </c>
      <c r="J157" s="18">
        <v>800</v>
      </c>
      <c r="K157" s="35"/>
      <c r="L157" s="36">
        <f t="shared" si="8"/>
        <v>170</v>
      </c>
      <c r="M157" s="35">
        <v>0.4</v>
      </c>
      <c r="N157" s="36">
        <f t="shared" si="6"/>
        <v>68</v>
      </c>
      <c r="O157" s="37"/>
      <c r="P157" s="38" t="s">
        <v>110</v>
      </c>
    </row>
    <row r="158" spans="1:16" s="2" customFormat="1" ht="18" customHeight="1">
      <c r="A158" s="18">
        <v>156</v>
      </c>
      <c r="B158" s="19">
        <v>209</v>
      </c>
      <c r="C158" s="20" t="s">
        <v>253</v>
      </c>
      <c r="D158" s="18" t="s">
        <v>100</v>
      </c>
      <c r="E158" s="18">
        <v>1</v>
      </c>
      <c r="F158" s="18" t="s">
        <v>234</v>
      </c>
      <c r="G158" s="20"/>
      <c r="H158" s="18">
        <v>200</v>
      </c>
      <c r="I158" s="18">
        <v>200</v>
      </c>
      <c r="J158" s="18">
        <v>800</v>
      </c>
      <c r="K158" s="35"/>
      <c r="L158" s="36">
        <f t="shared" si="8"/>
        <v>170</v>
      </c>
      <c r="M158" s="35">
        <v>0.4</v>
      </c>
      <c r="N158" s="36">
        <f t="shared" si="6"/>
        <v>68</v>
      </c>
      <c r="O158" s="37"/>
      <c r="P158" s="38" t="s">
        <v>110</v>
      </c>
    </row>
    <row r="159" spans="1:16" s="2" customFormat="1" ht="18" customHeight="1">
      <c r="A159" s="18">
        <v>157</v>
      </c>
      <c r="B159" s="19">
        <v>210</v>
      </c>
      <c r="C159" s="20" t="s">
        <v>253</v>
      </c>
      <c r="D159" s="18" t="s">
        <v>100</v>
      </c>
      <c r="E159" s="18">
        <v>1</v>
      </c>
      <c r="F159" s="18" t="s">
        <v>234</v>
      </c>
      <c r="G159" s="20"/>
      <c r="H159" s="18">
        <v>200</v>
      </c>
      <c r="I159" s="18">
        <v>200</v>
      </c>
      <c r="J159" s="18">
        <v>800</v>
      </c>
      <c r="K159" s="35"/>
      <c r="L159" s="36">
        <f t="shared" si="8"/>
        <v>170</v>
      </c>
      <c r="M159" s="35">
        <v>0.4</v>
      </c>
      <c r="N159" s="36">
        <f t="shared" si="6"/>
        <v>68</v>
      </c>
      <c r="O159" s="37"/>
      <c r="P159" s="38" t="s">
        <v>110</v>
      </c>
    </row>
    <row r="160" spans="1:16" s="2" customFormat="1" ht="18" customHeight="1">
      <c r="A160" s="18">
        <v>158</v>
      </c>
      <c r="B160" s="19">
        <v>211</v>
      </c>
      <c r="C160" s="20" t="s">
        <v>253</v>
      </c>
      <c r="D160" s="18" t="s">
        <v>100</v>
      </c>
      <c r="E160" s="18">
        <v>1</v>
      </c>
      <c r="F160" s="18" t="s">
        <v>234</v>
      </c>
      <c r="G160" s="20"/>
      <c r="H160" s="18">
        <v>200</v>
      </c>
      <c r="I160" s="18">
        <v>200</v>
      </c>
      <c r="J160" s="18">
        <v>800</v>
      </c>
      <c r="K160" s="35"/>
      <c r="L160" s="36">
        <f t="shared" si="8"/>
        <v>170</v>
      </c>
      <c r="M160" s="35">
        <v>0.4</v>
      </c>
      <c r="N160" s="36">
        <f t="shared" si="6"/>
        <v>68</v>
      </c>
      <c r="O160" s="37"/>
      <c r="P160" s="38" t="s">
        <v>110</v>
      </c>
    </row>
    <row r="161" spans="1:16" s="2" customFormat="1" ht="18" customHeight="1">
      <c r="A161" s="18">
        <v>159</v>
      </c>
      <c r="B161" s="19">
        <v>212</v>
      </c>
      <c r="C161" s="20" t="s">
        <v>253</v>
      </c>
      <c r="D161" s="18" t="s">
        <v>100</v>
      </c>
      <c r="E161" s="18">
        <v>1</v>
      </c>
      <c r="F161" s="18" t="s">
        <v>234</v>
      </c>
      <c r="G161" s="20"/>
      <c r="H161" s="18">
        <v>200</v>
      </c>
      <c r="I161" s="18">
        <v>200</v>
      </c>
      <c r="J161" s="18">
        <v>800</v>
      </c>
      <c r="K161" s="35"/>
      <c r="L161" s="36">
        <f t="shared" si="8"/>
        <v>170</v>
      </c>
      <c r="M161" s="35">
        <v>0.4</v>
      </c>
      <c r="N161" s="36">
        <f t="shared" si="6"/>
        <v>68</v>
      </c>
      <c r="O161" s="37"/>
      <c r="P161" s="38" t="s">
        <v>110</v>
      </c>
    </row>
    <row r="162" spans="1:16" s="2" customFormat="1" ht="18" customHeight="1">
      <c r="A162" s="18">
        <v>160</v>
      </c>
      <c r="B162" s="19">
        <v>213</v>
      </c>
      <c r="C162" s="20" t="s">
        <v>253</v>
      </c>
      <c r="D162" s="18" t="s">
        <v>100</v>
      </c>
      <c r="E162" s="18">
        <v>1</v>
      </c>
      <c r="F162" s="18" t="s">
        <v>234</v>
      </c>
      <c r="G162" s="20"/>
      <c r="H162" s="18">
        <v>200</v>
      </c>
      <c r="I162" s="18">
        <v>200</v>
      </c>
      <c r="J162" s="18">
        <v>800</v>
      </c>
      <c r="K162" s="35"/>
      <c r="L162" s="36">
        <f t="shared" si="8"/>
        <v>170</v>
      </c>
      <c r="M162" s="35">
        <v>0.4</v>
      </c>
      <c r="N162" s="36">
        <f t="shared" si="6"/>
        <v>68</v>
      </c>
      <c r="O162" s="37"/>
      <c r="P162" s="38" t="s">
        <v>110</v>
      </c>
    </row>
    <row r="163" spans="1:16" s="2" customFormat="1" ht="18" customHeight="1">
      <c r="A163" s="18">
        <v>161</v>
      </c>
      <c r="B163" s="19">
        <v>214</v>
      </c>
      <c r="C163" s="20" t="s">
        <v>253</v>
      </c>
      <c r="D163" s="18" t="s">
        <v>100</v>
      </c>
      <c r="E163" s="18">
        <v>1</v>
      </c>
      <c r="F163" s="18" t="s">
        <v>234</v>
      </c>
      <c r="G163" s="20"/>
      <c r="H163" s="18">
        <v>200</v>
      </c>
      <c r="I163" s="18">
        <v>200</v>
      </c>
      <c r="J163" s="18">
        <v>800</v>
      </c>
      <c r="K163" s="35"/>
      <c r="L163" s="36">
        <f t="shared" si="8"/>
        <v>170</v>
      </c>
      <c r="M163" s="35">
        <v>0.4</v>
      </c>
      <c r="N163" s="36">
        <f t="shared" si="6"/>
        <v>68</v>
      </c>
      <c r="O163" s="37"/>
      <c r="P163" s="38" t="s">
        <v>110</v>
      </c>
    </row>
    <row r="164" spans="1:16" s="2" customFormat="1" ht="18" customHeight="1">
      <c r="A164" s="18">
        <v>162</v>
      </c>
      <c r="B164" s="19">
        <v>215</v>
      </c>
      <c r="C164" s="20" t="s">
        <v>253</v>
      </c>
      <c r="D164" s="18" t="s">
        <v>100</v>
      </c>
      <c r="E164" s="18">
        <v>1</v>
      </c>
      <c r="F164" s="18" t="s">
        <v>234</v>
      </c>
      <c r="G164" s="20"/>
      <c r="H164" s="18">
        <v>200</v>
      </c>
      <c r="I164" s="18">
        <v>200</v>
      </c>
      <c r="J164" s="18">
        <v>800</v>
      </c>
      <c r="K164" s="35"/>
      <c r="L164" s="36">
        <f t="shared" si="8"/>
        <v>170</v>
      </c>
      <c r="M164" s="35">
        <v>0.4</v>
      </c>
      <c r="N164" s="36">
        <f t="shared" si="6"/>
        <v>68</v>
      </c>
      <c r="O164" s="37"/>
      <c r="P164" s="38" t="s">
        <v>110</v>
      </c>
    </row>
    <row r="165" spans="1:16" s="2" customFormat="1" ht="18" customHeight="1">
      <c r="A165" s="18">
        <v>163</v>
      </c>
      <c r="B165" s="19">
        <v>216</v>
      </c>
      <c r="C165" s="20" t="s">
        <v>253</v>
      </c>
      <c r="D165" s="18" t="s">
        <v>100</v>
      </c>
      <c r="E165" s="18">
        <v>1</v>
      </c>
      <c r="F165" s="18" t="s">
        <v>234</v>
      </c>
      <c r="G165" s="20"/>
      <c r="H165" s="18">
        <v>200</v>
      </c>
      <c r="I165" s="18">
        <v>200</v>
      </c>
      <c r="J165" s="18">
        <v>800</v>
      </c>
      <c r="K165" s="35"/>
      <c r="L165" s="36">
        <f t="shared" si="8"/>
        <v>170</v>
      </c>
      <c r="M165" s="35">
        <v>0.4</v>
      </c>
      <c r="N165" s="36">
        <f t="shared" si="6"/>
        <v>68</v>
      </c>
      <c r="O165" s="37"/>
      <c r="P165" s="38" t="s">
        <v>110</v>
      </c>
    </row>
    <row r="166" spans="1:16" s="2" customFormat="1" ht="18" customHeight="1">
      <c r="A166" s="18">
        <v>164</v>
      </c>
      <c r="B166" s="19">
        <v>217</v>
      </c>
      <c r="C166" s="20" t="s">
        <v>253</v>
      </c>
      <c r="D166" s="18" t="s">
        <v>100</v>
      </c>
      <c r="E166" s="18">
        <v>1</v>
      </c>
      <c r="F166" s="18" t="s">
        <v>234</v>
      </c>
      <c r="G166" s="20"/>
      <c r="H166" s="18">
        <v>200</v>
      </c>
      <c r="I166" s="18">
        <v>200</v>
      </c>
      <c r="J166" s="18">
        <v>800</v>
      </c>
      <c r="K166" s="35"/>
      <c r="L166" s="36">
        <f t="shared" si="8"/>
        <v>170</v>
      </c>
      <c r="M166" s="35">
        <v>0.4</v>
      </c>
      <c r="N166" s="36">
        <f t="shared" si="6"/>
        <v>68</v>
      </c>
      <c r="O166" s="37"/>
      <c r="P166" s="38" t="s">
        <v>110</v>
      </c>
    </row>
    <row r="167" spans="1:16" s="2" customFormat="1" ht="18" customHeight="1">
      <c r="A167" s="18">
        <v>165</v>
      </c>
      <c r="B167" s="19">
        <v>218</v>
      </c>
      <c r="C167" s="20" t="s">
        <v>253</v>
      </c>
      <c r="D167" s="18" t="s">
        <v>100</v>
      </c>
      <c r="E167" s="18">
        <v>1</v>
      </c>
      <c r="F167" s="18" t="s">
        <v>234</v>
      </c>
      <c r="G167" s="20"/>
      <c r="H167" s="18">
        <v>200</v>
      </c>
      <c r="I167" s="18">
        <v>200</v>
      </c>
      <c r="J167" s="18">
        <v>800</v>
      </c>
      <c r="K167" s="35"/>
      <c r="L167" s="36">
        <f t="shared" si="8"/>
        <v>170</v>
      </c>
      <c r="M167" s="35">
        <v>0.4</v>
      </c>
      <c r="N167" s="36">
        <f t="shared" si="6"/>
        <v>68</v>
      </c>
      <c r="O167" s="37"/>
      <c r="P167" s="38" t="s">
        <v>110</v>
      </c>
    </row>
    <row r="168" spans="1:16" s="2" customFormat="1" ht="18" customHeight="1">
      <c r="A168" s="18">
        <v>166</v>
      </c>
      <c r="B168" s="19">
        <v>219</v>
      </c>
      <c r="C168" s="20" t="s">
        <v>253</v>
      </c>
      <c r="D168" s="18" t="s">
        <v>100</v>
      </c>
      <c r="E168" s="18">
        <v>1</v>
      </c>
      <c r="F168" s="18" t="s">
        <v>234</v>
      </c>
      <c r="G168" s="20"/>
      <c r="H168" s="18">
        <v>200</v>
      </c>
      <c r="I168" s="18">
        <v>200</v>
      </c>
      <c r="J168" s="18">
        <v>800</v>
      </c>
      <c r="K168" s="35"/>
      <c r="L168" s="36">
        <f t="shared" si="8"/>
        <v>170</v>
      </c>
      <c r="M168" s="35">
        <v>0.4</v>
      </c>
      <c r="N168" s="36">
        <f t="shared" si="6"/>
        <v>68</v>
      </c>
      <c r="O168" s="37"/>
      <c r="P168" s="38" t="s">
        <v>110</v>
      </c>
    </row>
    <row r="169" spans="1:16" s="2" customFormat="1" ht="18" customHeight="1">
      <c r="A169" s="18">
        <v>167</v>
      </c>
      <c r="B169" s="19">
        <v>220</v>
      </c>
      <c r="C169" s="20" t="s">
        <v>253</v>
      </c>
      <c r="D169" s="18" t="s">
        <v>100</v>
      </c>
      <c r="E169" s="18">
        <v>1</v>
      </c>
      <c r="F169" s="18" t="s">
        <v>234</v>
      </c>
      <c r="G169" s="20"/>
      <c r="H169" s="18">
        <v>200</v>
      </c>
      <c r="I169" s="18">
        <v>200</v>
      </c>
      <c r="J169" s="18">
        <v>800</v>
      </c>
      <c r="K169" s="35"/>
      <c r="L169" s="36">
        <f t="shared" si="8"/>
        <v>170</v>
      </c>
      <c r="M169" s="35">
        <v>0.4</v>
      </c>
      <c r="N169" s="36">
        <f t="shared" si="6"/>
        <v>68</v>
      </c>
      <c r="O169" s="37"/>
      <c r="P169" s="38" t="s">
        <v>110</v>
      </c>
    </row>
    <row r="170" spans="1:16" s="2" customFormat="1" ht="18" customHeight="1">
      <c r="A170" s="18">
        <v>168</v>
      </c>
      <c r="B170" s="19">
        <v>221</v>
      </c>
      <c r="C170" s="20" t="s">
        <v>253</v>
      </c>
      <c r="D170" s="18" t="s">
        <v>100</v>
      </c>
      <c r="E170" s="18">
        <v>1</v>
      </c>
      <c r="F170" s="18" t="s">
        <v>234</v>
      </c>
      <c r="G170" s="20"/>
      <c r="H170" s="18">
        <v>200</v>
      </c>
      <c r="I170" s="18">
        <v>200</v>
      </c>
      <c r="J170" s="18">
        <v>800</v>
      </c>
      <c r="K170" s="35"/>
      <c r="L170" s="36">
        <f t="shared" si="8"/>
        <v>170</v>
      </c>
      <c r="M170" s="35">
        <v>0.4</v>
      </c>
      <c r="N170" s="36">
        <f t="shared" si="6"/>
        <v>68</v>
      </c>
      <c r="O170" s="37"/>
      <c r="P170" s="38" t="s">
        <v>110</v>
      </c>
    </row>
    <row r="171" spans="1:16" s="2" customFormat="1" ht="18" customHeight="1">
      <c r="A171" s="18">
        <v>169</v>
      </c>
      <c r="B171" s="19">
        <v>222</v>
      </c>
      <c r="C171" s="20" t="s">
        <v>253</v>
      </c>
      <c r="D171" s="18" t="s">
        <v>100</v>
      </c>
      <c r="E171" s="18">
        <v>1</v>
      </c>
      <c r="F171" s="18" t="s">
        <v>234</v>
      </c>
      <c r="G171" s="20"/>
      <c r="H171" s="18">
        <v>200</v>
      </c>
      <c r="I171" s="18">
        <v>200</v>
      </c>
      <c r="J171" s="18">
        <v>800</v>
      </c>
      <c r="K171" s="35"/>
      <c r="L171" s="36">
        <f t="shared" si="8"/>
        <v>170</v>
      </c>
      <c r="M171" s="35">
        <v>0.4</v>
      </c>
      <c r="N171" s="36">
        <f t="shared" si="6"/>
        <v>68</v>
      </c>
      <c r="O171" s="37"/>
      <c r="P171" s="38" t="s">
        <v>110</v>
      </c>
    </row>
    <row r="172" spans="1:16" s="2" customFormat="1" ht="18" customHeight="1">
      <c r="A172" s="18">
        <v>170</v>
      </c>
      <c r="B172" s="19">
        <v>223</v>
      </c>
      <c r="C172" s="20" t="s">
        <v>253</v>
      </c>
      <c r="D172" s="18" t="s">
        <v>100</v>
      </c>
      <c r="E172" s="18">
        <v>1</v>
      </c>
      <c r="F172" s="18" t="s">
        <v>234</v>
      </c>
      <c r="G172" s="20"/>
      <c r="H172" s="18">
        <v>200</v>
      </c>
      <c r="I172" s="18">
        <v>200</v>
      </c>
      <c r="J172" s="18">
        <v>800</v>
      </c>
      <c r="K172" s="35"/>
      <c r="L172" s="36">
        <f t="shared" si="8"/>
        <v>170</v>
      </c>
      <c r="M172" s="35">
        <v>0.4</v>
      </c>
      <c r="N172" s="36">
        <f t="shared" si="6"/>
        <v>68</v>
      </c>
      <c r="O172" s="37"/>
      <c r="P172" s="38" t="s">
        <v>110</v>
      </c>
    </row>
    <row r="173" spans="1:16" s="2" customFormat="1" ht="18" customHeight="1">
      <c r="A173" s="18">
        <v>171</v>
      </c>
      <c r="B173" s="19">
        <v>224</v>
      </c>
      <c r="C173" s="20" t="s">
        <v>383</v>
      </c>
      <c r="D173" s="18" t="s">
        <v>100</v>
      </c>
      <c r="E173" s="18">
        <v>1</v>
      </c>
      <c r="F173" s="18" t="s">
        <v>234</v>
      </c>
      <c r="G173" s="20" t="s">
        <v>355</v>
      </c>
      <c r="H173" s="18">
        <v>800</v>
      </c>
      <c r="I173" s="18">
        <v>200</v>
      </c>
      <c r="J173" s="18">
        <v>1000</v>
      </c>
      <c r="K173" s="35"/>
      <c r="L173" s="36">
        <f>ROUND((268+299+316)/3,0)</f>
        <v>294</v>
      </c>
      <c r="M173" s="35">
        <v>0.7</v>
      </c>
      <c r="N173" s="36">
        <f t="shared" si="6"/>
        <v>206</v>
      </c>
      <c r="O173" s="37"/>
      <c r="P173" s="38" t="s">
        <v>110</v>
      </c>
    </row>
    <row r="174" spans="1:16" s="2" customFormat="1" ht="18" customHeight="1">
      <c r="A174" s="18">
        <v>172</v>
      </c>
      <c r="B174" s="19">
        <v>225</v>
      </c>
      <c r="C174" s="20" t="s">
        <v>253</v>
      </c>
      <c r="D174" s="18" t="s">
        <v>100</v>
      </c>
      <c r="E174" s="18">
        <v>1</v>
      </c>
      <c r="F174" s="18" t="s">
        <v>234</v>
      </c>
      <c r="G174" s="20"/>
      <c r="H174" s="18">
        <v>200</v>
      </c>
      <c r="I174" s="18">
        <v>200</v>
      </c>
      <c r="J174" s="18">
        <v>800</v>
      </c>
      <c r="K174" s="35"/>
      <c r="L174" s="36">
        <f>ROUND((153+168+178+179.1)/4,0)</f>
        <v>170</v>
      </c>
      <c r="M174" s="35">
        <v>0.4</v>
      </c>
      <c r="N174" s="36">
        <f t="shared" si="6"/>
        <v>68</v>
      </c>
      <c r="O174" s="37"/>
      <c r="P174" s="38" t="s">
        <v>110</v>
      </c>
    </row>
    <row r="175" spans="1:16" s="2" customFormat="1" ht="18" customHeight="1">
      <c r="A175" s="18">
        <v>173</v>
      </c>
      <c r="B175" s="19">
        <v>226</v>
      </c>
      <c r="C175" s="20" t="s">
        <v>253</v>
      </c>
      <c r="D175" s="18" t="s">
        <v>100</v>
      </c>
      <c r="E175" s="18">
        <v>1</v>
      </c>
      <c r="F175" s="18" t="s">
        <v>234</v>
      </c>
      <c r="G175" s="20"/>
      <c r="H175" s="18">
        <v>200</v>
      </c>
      <c r="I175" s="18">
        <v>200</v>
      </c>
      <c r="J175" s="18">
        <v>800</v>
      </c>
      <c r="K175" s="35"/>
      <c r="L175" s="36">
        <f>ROUND((153+168+178+179.1)/4,0)</f>
        <v>170</v>
      </c>
      <c r="M175" s="35">
        <v>0.4</v>
      </c>
      <c r="N175" s="36">
        <f t="shared" si="6"/>
        <v>68</v>
      </c>
      <c r="O175" s="37"/>
      <c r="P175" s="38" t="s">
        <v>110</v>
      </c>
    </row>
    <row r="176" spans="1:16" s="2" customFormat="1" ht="18" customHeight="1">
      <c r="A176" s="18">
        <v>174</v>
      </c>
      <c r="B176" s="19">
        <v>227</v>
      </c>
      <c r="C176" s="20" t="s">
        <v>253</v>
      </c>
      <c r="D176" s="18" t="s">
        <v>100</v>
      </c>
      <c r="E176" s="18">
        <v>1</v>
      </c>
      <c r="F176" s="18" t="s">
        <v>234</v>
      </c>
      <c r="G176" s="20"/>
      <c r="H176" s="18">
        <v>200</v>
      </c>
      <c r="I176" s="18">
        <v>200</v>
      </c>
      <c r="J176" s="18">
        <v>800</v>
      </c>
      <c r="K176" s="35"/>
      <c r="L176" s="36">
        <f>ROUND((153+168+178+179.1)/4,0)</f>
        <v>170</v>
      </c>
      <c r="M176" s="35">
        <v>0.4</v>
      </c>
      <c r="N176" s="36">
        <f t="shared" si="6"/>
        <v>68</v>
      </c>
      <c r="O176" s="37"/>
      <c r="P176" s="38" t="s">
        <v>110</v>
      </c>
    </row>
    <row r="177" spans="1:16" s="2" customFormat="1" ht="18" customHeight="1">
      <c r="A177" s="18">
        <v>175</v>
      </c>
      <c r="B177" s="19">
        <v>228</v>
      </c>
      <c r="C177" s="20" t="s">
        <v>253</v>
      </c>
      <c r="D177" s="18" t="s">
        <v>100</v>
      </c>
      <c r="E177" s="18">
        <v>1</v>
      </c>
      <c r="F177" s="18" t="s">
        <v>234</v>
      </c>
      <c r="G177" s="20"/>
      <c r="H177" s="18">
        <v>200</v>
      </c>
      <c r="I177" s="18">
        <v>200</v>
      </c>
      <c r="J177" s="18">
        <v>800</v>
      </c>
      <c r="K177" s="35"/>
      <c r="L177" s="36">
        <f>ROUND((153+168+178+179.1)/4,0)</f>
        <v>170</v>
      </c>
      <c r="M177" s="35">
        <v>0.4</v>
      </c>
      <c r="N177" s="36">
        <f t="shared" si="6"/>
        <v>68</v>
      </c>
      <c r="O177" s="37"/>
      <c r="P177" s="38" t="s">
        <v>110</v>
      </c>
    </row>
    <row r="178" spans="1:16" s="2" customFormat="1" ht="18" customHeight="1">
      <c r="A178" s="18">
        <v>176</v>
      </c>
      <c r="B178" s="19">
        <v>229</v>
      </c>
      <c r="C178" s="20" t="s">
        <v>253</v>
      </c>
      <c r="D178" s="18" t="s">
        <v>100</v>
      </c>
      <c r="E178" s="18">
        <v>1</v>
      </c>
      <c r="F178" s="18" t="s">
        <v>234</v>
      </c>
      <c r="G178" s="20"/>
      <c r="H178" s="18">
        <v>200</v>
      </c>
      <c r="I178" s="18">
        <v>200</v>
      </c>
      <c r="J178" s="18">
        <v>800</v>
      </c>
      <c r="K178" s="35"/>
      <c r="L178" s="36">
        <f>ROUND((153+168+178+179.1)/4,0)</f>
        <v>170</v>
      </c>
      <c r="M178" s="35">
        <v>0.4</v>
      </c>
      <c r="N178" s="36">
        <f t="shared" si="6"/>
        <v>68</v>
      </c>
      <c r="O178" s="37"/>
      <c r="P178" s="38" t="s">
        <v>110</v>
      </c>
    </row>
    <row r="179" spans="1:16" s="3" customFormat="1" ht="18" customHeight="1">
      <c r="A179" s="18">
        <v>177</v>
      </c>
      <c r="B179" s="19">
        <v>230</v>
      </c>
      <c r="C179" s="20" t="s">
        <v>346</v>
      </c>
      <c r="D179" s="18" t="s">
        <v>100</v>
      </c>
      <c r="E179" s="18">
        <v>1</v>
      </c>
      <c r="F179" s="18" t="s">
        <v>234</v>
      </c>
      <c r="G179" s="20"/>
      <c r="H179" s="18">
        <v>400</v>
      </c>
      <c r="I179" s="18">
        <v>300</v>
      </c>
      <c r="J179" s="18">
        <v>1600</v>
      </c>
      <c r="K179" s="35"/>
      <c r="L179" s="36">
        <v>1600</v>
      </c>
      <c r="M179" s="35">
        <v>0</v>
      </c>
      <c r="N179" s="36">
        <f t="shared" si="6"/>
        <v>0</v>
      </c>
      <c r="O179" s="3" t="s">
        <v>384</v>
      </c>
      <c r="P179" s="23" t="s">
        <v>110</v>
      </c>
    </row>
    <row r="180" spans="1:16" s="3" customFormat="1" ht="18" customHeight="1">
      <c r="A180" s="18">
        <v>178</v>
      </c>
      <c r="B180" s="19">
        <v>231</v>
      </c>
      <c r="C180" s="20" t="s">
        <v>385</v>
      </c>
      <c r="D180" s="18" t="s">
        <v>100</v>
      </c>
      <c r="E180" s="18">
        <v>1</v>
      </c>
      <c r="F180" s="18" t="s">
        <v>234</v>
      </c>
      <c r="G180" s="20"/>
      <c r="H180" s="18">
        <v>300</v>
      </c>
      <c r="I180" s="18">
        <v>200</v>
      </c>
      <c r="J180" s="18">
        <v>1500</v>
      </c>
      <c r="K180" s="35"/>
      <c r="L180" s="36">
        <f aca="true" t="shared" si="9" ref="L180:L185">ROUND((268+299+316)/3,0)</f>
        <v>294</v>
      </c>
      <c r="M180" s="35">
        <v>0.4</v>
      </c>
      <c r="N180" s="36">
        <f t="shared" si="6"/>
        <v>118</v>
      </c>
      <c r="O180" s="20"/>
      <c r="P180" s="23" t="s">
        <v>110</v>
      </c>
    </row>
    <row r="181" spans="1:16" s="2" customFormat="1" ht="18" customHeight="1">
      <c r="A181" s="18">
        <v>179</v>
      </c>
      <c r="B181" s="19">
        <v>232</v>
      </c>
      <c r="C181" s="20" t="s">
        <v>385</v>
      </c>
      <c r="D181" s="18" t="s">
        <v>100</v>
      </c>
      <c r="E181" s="18">
        <v>1</v>
      </c>
      <c r="F181" s="18" t="s">
        <v>234</v>
      </c>
      <c r="G181" s="20"/>
      <c r="H181" s="18">
        <v>300</v>
      </c>
      <c r="I181" s="18">
        <v>200</v>
      </c>
      <c r="J181" s="18">
        <v>1600</v>
      </c>
      <c r="K181" s="35"/>
      <c r="L181" s="36">
        <f t="shared" si="9"/>
        <v>294</v>
      </c>
      <c r="M181" s="35">
        <v>0.4</v>
      </c>
      <c r="N181" s="36">
        <f t="shared" si="6"/>
        <v>118</v>
      </c>
      <c r="O181" s="37"/>
      <c r="P181" s="38" t="s">
        <v>110</v>
      </c>
    </row>
    <row r="182" spans="1:16" s="2" customFormat="1" ht="18" customHeight="1">
      <c r="A182" s="18">
        <v>180</v>
      </c>
      <c r="B182" s="19">
        <v>233</v>
      </c>
      <c r="C182" s="20" t="s">
        <v>385</v>
      </c>
      <c r="D182" s="18" t="s">
        <v>100</v>
      </c>
      <c r="E182" s="18">
        <v>1</v>
      </c>
      <c r="F182" s="18" t="s">
        <v>234</v>
      </c>
      <c r="G182" s="20"/>
      <c r="H182" s="18">
        <v>300</v>
      </c>
      <c r="I182" s="18">
        <v>200</v>
      </c>
      <c r="J182" s="18">
        <v>1500</v>
      </c>
      <c r="K182" s="35"/>
      <c r="L182" s="36">
        <f t="shared" si="9"/>
        <v>294</v>
      </c>
      <c r="M182" s="35">
        <v>0.4</v>
      </c>
      <c r="N182" s="36">
        <f t="shared" si="6"/>
        <v>118</v>
      </c>
      <c r="O182" s="37"/>
      <c r="P182" s="38" t="s">
        <v>110</v>
      </c>
    </row>
    <row r="183" spans="1:16" s="2" customFormat="1" ht="18" customHeight="1">
      <c r="A183" s="18">
        <v>181</v>
      </c>
      <c r="B183" s="19">
        <v>234</v>
      </c>
      <c r="C183" s="20" t="s">
        <v>385</v>
      </c>
      <c r="D183" s="18" t="s">
        <v>100</v>
      </c>
      <c r="E183" s="18">
        <v>1</v>
      </c>
      <c r="F183" s="18" t="s">
        <v>234</v>
      </c>
      <c r="G183" s="20" t="s">
        <v>335</v>
      </c>
      <c r="H183" s="18">
        <v>300</v>
      </c>
      <c r="I183" s="18">
        <v>300</v>
      </c>
      <c r="J183" s="18">
        <v>1500</v>
      </c>
      <c r="K183" s="35"/>
      <c r="L183" s="36">
        <f t="shared" si="9"/>
        <v>294</v>
      </c>
      <c r="M183" s="35">
        <v>0.4</v>
      </c>
      <c r="N183" s="36">
        <f t="shared" si="6"/>
        <v>118</v>
      </c>
      <c r="O183" s="37"/>
      <c r="P183" s="38" t="s">
        <v>110</v>
      </c>
    </row>
    <row r="184" spans="1:16" s="2" customFormat="1" ht="18" customHeight="1">
      <c r="A184" s="18">
        <v>182</v>
      </c>
      <c r="B184" s="19">
        <v>235</v>
      </c>
      <c r="C184" s="20" t="s">
        <v>385</v>
      </c>
      <c r="D184" s="18" t="s">
        <v>100</v>
      </c>
      <c r="E184" s="18">
        <v>1</v>
      </c>
      <c r="F184" s="18" t="s">
        <v>234</v>
      </c>
      <c r="G184" s="20"/>
      <c r="H184" s="18">
        <v>300</v>
      </c>
      <c r="I184" s="18">
        <v>300</v>
      </c>
      <c r="J184" s="18">
        <v>1500</v>
      </c>
      <c r="K184" s="35"/>
      <c r="L184" s="36">
        <f t="shared" si="9"/>
        <v>294</v>
      </c>
      <c r="M184" s="35">
        <v>0.4</v>
      </c>
      <c r="N184" s="36">
        <f t="shared" si="6"/>
        <v>118</v>
      </c>
      <c r="O184" s="37"/>
      <c r="P184" s="38" t="s">
        <v>110</v>
      </c>
    </row>
    <row r="185" spans="1:16" s="2" customFormat="1" ht="18" customHeight="1">
      <c r="A185" s="18">
        <v>183</v>
      </c>
      <c r="B185" s="19">
        <v>236</v>
      </c>
      <c r="C185" s="20" t="s">
        <v>346</v>
      </c>
      <c r="D185" s="18" t="s">
        <v>100</v>
      </c>
      <c r="E185" s="18">
        <v>1</v>
      </c>
      <c r="F185" s="18" t="s">
        <v>234</v>
      </c>
      <c r="G185" s="20"/>
      <c r="H185" s="18">
        <v>300</v>
      </c>
      <c r="I185" s="18">
        <v>200</v>
      </c>
      <c r="J185" s="18">
        <v>1600</v>
      </c>
      <c r="K185" s="35"/>
      <c r="L185" s="36">
        <f t="shared" si="9"/>
        <v>294</v>
      </c>
      <c r="M185" s="35">
        <v>0.4</v>
      </c>
      <c r="N185" s="36">
        <f t="shared" si="6"/>
        <v>118</v>
      </c>
      <c r="O185" s="37"/>
      <c r="P185" s="38" t="s">
        <v>110</v>
      </c>
    </row>
    <row r="186" spans="1:16" s="2" customFormat="1" ht="18" customHeight="1">
      <c r="A186" s="18">
        <v>184</v>
      </c>
      <c r="B186" s="19">
        <v>237</v>
      </c>
      <c r="C186" s="20" t="s">
        <v>253</v>
      </c>
      <c r="D186" s="18" t="s">
        <v>100</v>
      </c>
      <c r="E186" s="18">
        <v>1</v>
      </c>
      <c r="F186" s="18" t="s">
        <v>234</v>
      </c>
      <c r="G186" s="20"/>
      <c r="H186" s="18">
        <v>200</v>
      </c>
      <c r="I186" s="18">
        <v>200</v>
      </c>
      <c r="J186" s="18">
        <v>800</v>
      </c>
      <c r="K186" s="35"/>
      <c r="L186" s="36">
        <f>ROUND((153+168+178+179.1)/4,0)</f>
        <v>170</v>
      </c>
      <c r="M186" s="35">
        <v>0.4</v>
      </c>
      <c r="N186" s="36">
        <f t="shared" si="6"/>
        <v>68</v>
      </c>
      <c r="O186" s="37"/>
      <c r="P186" s="38" t="s">
        <v>110</v>
      </c>
    </row>
    <row r="187" spans="1:16" s="2" customFormat="1" ht="18" customHeight="1">
      <c r="A187" s="18">
        <v>185</v>
      </c>
      <c r="B187" s="19">
        <v>238</v>
      </c>
      <c r="C187" s="20" t="s">
        <v>372</v>
      </c>
      <c r="D187" s="18" t="s">
        <v>100</v>
      </c>
      <c r="E187" s="18">
        <v>1</v>
      </c>
      <c r="F187" s="18" t="s">
        <v>234</v>
      </c>
      <c r="G187" s="20"/>
      <c r="H187" s="18">
        <v>200</v>
      </c>
      <c r="I187" s="18">
        <v>200</v>
      </c>
      <c r="J187" s="18">
        <v>1200</v>
      </c>
      <c r="K187" s="35"/>
      <c r="L187" s="36">
        <f>L154</f>
        <v>352</v>
      </c>
      <c r="M187" s="35">
        <v>0.4</v>
      </c>
      <c r="N187" s="36">
        <f t="shared" si="6"/>
        <v>141</v>
      </c>
      <c r="O187" s="37"/>
      <c r="P187" s="38" t="s">
        <v>110</v>
      </c>
    </row>
    <row r="188" spans="1:16" s="2" customFormat="1" ht="18" customHeight="1">
      <c r="A188" s="18">
        <v>186</v>
      </c>
      <c r="B188" s="19">
        <v>239</v>
      </c>
      <c r="C188" s="20" t="s">
        <v>386</v>
      </c>
      <c r="D188" s="18" t="s">
        <v>100</v>
      </c>
      <c r="E188" s="18">
        <v>1</v>
      </c>
      <c r="F188" s="18" t="s">
        <v>234</v>
      </c>
      <c r="G188" s="20" t="s">
        <v>355</v>
      </c>
      <c r="H188" s="18">
        <v>200</v>
      </c>
      <c r="I188" s="18">
        <v>200</v>
      </c>
      <c r="J188" s="18">
        <v>1800</v>
      </c>
      <c r="K188" s="35"/>
      <c r="L188" s="36">
        <f>L187</f>
        <v>352</v>
      </c>
      <c r="M188" s="35">
        <v>0.4</v>
      </c>
      <c r="N188" s="36">
        <f t="shared" si="6"/>
        <v>141</v>
      </c>
      <c r="O188" s="37"/>
      <c r="P188" s="38" t="s">
        <v>110</v>
      </c>
    </row>
    <row r="189" spans="1:16" s="2" customFormat="1" ht="18" customHeight="1">
      <c r="A189" s="18">
        <v>187</v>
      </c>
      <c r="B189" s="19">
        <v>254</v>
      </c>
      <c r="C189" s="20" t="s">
        <v>253</v>
      </c>
      <c r="D189" s="18" t="s">
        <v>254</v>
      </c>
      <c r="E189" s="18">
        <v>1</v>
      </c>
      <c r="F189" s="18" t="s">
        <v>234</v>
      </c>
      <c r="G189" s="20" t="s">
        <v>387</v>
      </c>
      <c r="H189" s="18">
        <v>13000</v>
      </c>
      <c r="I189" s="18">
        <v>4000</v>
      </c>
      <c r="J189" s="18">
        <v>6000</v>
      </c>
      <c r="K189" s="35"/>
      <c r="L189" s="36">
        <f>ROUND((1598+1730+1751.2)/3*2,0)</f>
        <v>3386</v>
      </c>
      <c r="M189" s="35">
        <v>0.5</v>
      </c>
      <c r="N189" s="36">
        <f t="shared" si="6"/>
        <v>1693</v>
      </c>
      <c r="O189" s="37"/>
      <c r="P189" s="38" t="s">
        <v>117</v>
      </c>
    </row>
    <row r="190" spans="1:16" s="2" customFormat="1" ht="18" customHeight="1">
      <c r="A190" s="18">
        <v>188</v>
      </c>
      <c r="B190" s="19">
        <v>256</v>
      </c>
      <c r="C190" s="20" t="s">
        <v>388</v>
      </c>
      <c r="D190" s="18" t="s">
        <v>100</v>
      </c>
      <c r="E190" s="18">
        <v>1</v>
      </c>
      <c r="F190" s="18" t="s">
        <v>389</v>
      </c>
      <c r="G190" s="20" t="s">
        <v>390</v>
      </c>
      <c r="H190" s="18">
        <v>4000</v>
      </c>
      <c r="I190" s="18">
        <v>5000</v>
      </c>
      <c r="J190" s="18">
        <v>11000</v>
      </c>
      <c r="K190" s="35"/>
      <c r="L190" s="36">
        <f>ROUND((7980+7980+7980)/3,0)</f>
        <v>7980</v>
      </c>
      <c r="M190" s="35">
        <v>0.5</v>
      </c>
      <c r="N190" s="36">
        <f t="shared" si="6"/>
        <v>3990</v>
      </c>
      <c r="O190" s="37"/>
      <c r="P190" s="38" t="s">
        <v>117</v>
      </c>
    </row>
    <row r="191" spans="1:16" s="2" customFormat="1" ht="18" customHeight="1">
      <c r="A191" s="18">
        <v>189</v>
      </c>
      <c r="B191" s="19">
        <v>259</v>
      </c>
      <c r="C191" s="20" t="s">
        <v>391</v>
      </c>
      <c r="D191" s="18" t="s">
        <v>100</v>
      </c>
      <c r="E191" s="18">
        <v>1</v>
      </c>
      <c r="F191" s="18" t="s">
        <v>392</v>
      </c>
      <c r="G191" s="20" t="s">
        <v>379</v>
      </c>
      <c r="H191" s="18">
        <v>1000</v>
      </c>
      <c r="I191" s="18">
        <v>200</v>
      </c>
      <c r="J191" s="18">
        <v>3500</v>
      </c>
      <c r="K191" s="35"/>
      <c r="L191" s="36">
        <f>ROUND((2960+3429+3429)/3,0)</f>
        <v>3273</v>
      </c>
      <c r="M191" s="35">
        <v>0.5</v>
      </c>
      <c r="N191" s="36">
        <f t="shared" si="6"/>
        <v>1637</v>
      </c>
      <c r="O191" s="37" t="s">
        <v>393</v>
      </c>
      <c r="P191" s="38" t="s">
        <v>117</v>
      </c>
    </row>
    <row r="192" spans="1:16" s="2" customFormat="1" ht="18" customHeight="1">
      <c r="A192" s="18">
        <v>190</v>
      </c>
      <c r="B192" s="19">
        <v>260</v>
      </c>
      <c r="C192" s="20" t="s">
        <v>394</v>
      </c>
      <c r="D192" s="18" t="s">
        <v>100</v>
      </c>
      <c r="E192" s="18">
        <v>1</v>
      </c>
      <c r="F192" s="18" t="s">
        <v>392</v>
      </c>
      <c r="G192" s="20" t="s">
        <v>379</v>
      </c>
      <c r="H192" s="18">
        <v>1000</v>
      </c>
      <c r="I192" s="18">
        <v>200</v>
      </c>
      <c r="J192" s="18">
        <v>3500</v>
      </c>
      <c r="K192" s="35"/>
      <c r="L192" s="36">
        <f>ROUND((2960+3429+3429)/3,0)</f>
        <v>3273</v>
      </c>
      <c r="M192" s="35">
        <v>0.5</v>
      </c>
      <c r="N192" s="36">
        <f t="shared" si="6"/>
        <v>1637</v>
      </c>
      <c r="O192" s="37" t="s">
        <v>393</v>
      </c>
      <c r="P192" s="38" t="s">
        <v>117</v>
      </c>
    </row>
    <row r="193" spans="1:16" s="2" customFormat="1" ht="18" customHeight="1">
      <c r="A193" s="18">
        <v>191</v>
      </c>
      <c r="B193" s="19">
        <v>261</v>
      </c>
      <c r="C193" s="20" t="s">
        <v>395</v>
      </c>
      <c r="D193" s="18" t="s">
        <v>100</v>
      </c>
      <c r="E193" s="18">
        <v>1</v>
      </c>
      <c r="F193" s="18" t="s">
        <v>392</v>
      </c>
      <c r="G193" s="20" t="s">
        <v>379</v>
      </c>
      <c r="H193" s="18">
        <v>1000</v>
      </c>
      <c r="I193" s="18">
        <v>200</v>
      </c>
      <c r="J193" s="18">
        <v>3500</v>
      </c>
      <c r="K193" s="35"/>
      <c r="L193" s="36">
        <f>ROUND((2960+3429+3429)/3,0)</f>
        <v>3273</v>
      </c>
      <c r="M193" s="35">
        <v>0.5</v>
      </c>
      <c r="N193" s="36">
        <f t="shared" si="6"/>
        <v>1637</v>
      </c>
      <c r="O193" s="37" t="s">
        <v>393</v>
      </c>
      <c r="P193" s="38" t="s">
        <v>117</v>
      </c>
    </row>
    <row r="194" spans="1:16" s="2" customFormat="1" ht="18" customHeight="1">
      <c r="A194" s="18">
        <v>192</v>
      </c>
      <c r="B194" s="19">
        <v>273</v>
      </c>
      <c r="C194" s="20" t="s">
        <v>396</v>
      </c>
      <c r="D194" s="18" t="s">
        <v>245</v>
      </c>
      <c r="E194" s="18">
        <v>1</v>
      </c>
      <c r="F194" s="18"/>
      <c r="G194" s="20"/>
      <c r="H194" s="18">
        <v>1000</v>
      </c>
      <c r="I194" s="18">
        <v>100</v>
      </c>
      <c r="J194" s="18">
        <v>1000</v>
      </c>
      <c r="K194" s="35"/>
      <c r="L194" s="36">
        <f>ROUND((278+298+268)/3,0)</f>
        <v>281</v>
      </c>
      <c r="M194" s="35">
        <v>0.7</v>
      </c>
      <c r="N194" s="36">
        <f t="shared" si="6"/>
        <v>197</v>
      </c>
      <c r="O194" s="37"/>
      <c r="P194" s="38" t="s">
        <v>141</v>
      </c>
    </row>
    <row r="195" spans="1:16" s="2" customFormat="1" ht="18" customHeight="1">
      <c r="A195" s="18">
        <v>193</v>
      </c>
      <c r="B195" s="19">
        <v>274</v>
      </c>
      <c r="C195" s="20" t="s">
        <v>397</v>
      </c>
      <c r="D195" s="18" t="s">
        <v>245</v>
      </c>
      <c r="E195" s="18">
        <v>1</v>
      </c>
      <c r="F195" s="18" t="s">
        <v>398</v>
      </c>
      <c r="G195" s="20"/>
      <c r="H195" s="18">
        <v>5000</v>
      </c>
      <c r="I195" s="18">
        <v>1000</v>
      </c>
      <c r="J195" s="18">
        <v>6000</v>
      </c>
      <c r="K195" s="35"/>
      <c r="L195" s="36">
        <f>ROUND((1708+1999+1680)/3,0)</f>
        <v>1796</v>
      </c>
      <c r="M195" s="35">
        <v>0.7</v>
      </c>
      <c r="N195" s="36">
        <f t="shared" si="6"/>
        <v>1257</v>
      </c>
      <c r="O195" s="37" t="s">
        <v>399</v>
      </c>
      <c r="P195" s="38" t="s">
        <v>141</v>
      </c>
    </row>
    <row r="196" spans="1:16" s="2" customFormat="1" ht="18" customHeight="1">
      <c r="A196" s="18">
        <v>194</v>
      </c>
      <c r="B196" s="19">
        <v>275</v>
      </c>
      <c r="C196" s="20" t="s">
        <v>400</v>
      </c>
      <c r="D196" s="18" t="s">
        <v>245</v>
      </c>
      <c r="E196" s="18">
        <v>1</v>
      </c>
      <c r="F196" s="18"/>
      <c r="G196" s="20"/>
      <c r="H196" s="18">
        <v>2000</v>
      </c>
      <c r="I196" s="18"/>
      <c r="J196" s="18">
        <v>2000</v>
      </c>
      <c r="K196" s="35"/>
      <c r="L196" s="36">
        <f>ROUND((1708+1999+1680)/3,0)</f>
        <v>1796</v>
      </c>
      <c r="M196" s="35">
        <v>0.7</v>
      </c>
      <c r="N196" s="36">
        <f aca="true" t="shared" si="10" ref="N196:N222">ROUND(L196*M196,0)</f>
        <v>1257</v>
      </c>
      <c r="O196" s="37"/>
      <c r="P196" s="38" t="s">
        <v>141</v>
      </c>
    </row>
    <row r="197" spans="1:16" s="2" customFormat="1" ht="18" customHeight="1">
      <c r="A197" s="18">
        <v>195</v>
      </c>
      <c r="B197" s="19">
        <v>276</v>
      </c>
      <c r="C197" s="20" t="s">
        <v>401</v>
      </c>
      <c r="D197" s="18" t="s">
        <v>245</v>
      </c>
      <c r="E197" s="18">
        <v>1</v>
      </c>
      <c r="F197" s="18"/>
      <c r="G197" s="20"/>
      <c r="H197" s="18">
        <v>2000</v>
      </c>
      <c r="I197" s="18"/>
      <c r="J197" s="18">
        <v>3000</v>
      </c>
      <c r="K197" s="35"/>
      <c r="L197" s="36">
        <f>ROUND((1708+1999+1680)/3,0)</f>
        <v>1796</v>
      </c>
      <c r="M197" s="35">
        <v>0.7</v>
      </c>
      <c r="N197" s="36">
        <f t="shared" si="10"/>
        <v>1257</v>
      </c>
      <c r="O197" s="37"/>
      <c r="P197" s="38" t="s">
        <v>141</v>
      </c>
    </row>
    <row r="198" spans="1:16" s="2" customFormat="1" ht="18" customHeight="1">
      <c r="A198" s="18">
        <v>196</v>
      </c>
      <c r="B198" s="19">
        <v>277</v>
      </c>
      <c r="C198" s="20" t="s">
        <v>402</v>
      </c>
      <c r="D198" s="18" t="s">
        <v>245</v>
      </c>
      <c r="E198" s="18">
        <v>1</v>
      </c>
      <c r="F198" s="18"/>
      <c r="G198" s="20"/>
      <c r="H198" s="18">
        <v>800</v>
      </c>
      <c r="I198" s="18">
        <v>500</v>
      </c>
      <c r="J198" s="18">
        <v>5000</v>
      </c>
      <c r="K198" s="35"/>
      <c r="L198" s="36">
        <f>ROUND((329+300+329)/3,0)</f>
        <v>319</v>
      </c>
      <c r="M198" s="35">
        <v>0.5</v>
      </c>
      <c r="N198" s="36">
        <f t="shared" si="10"/>
        <v>160</v>
      </c>
      <c r="O198" s="37"/>
      <c r="P198" s="38" t="s">
        <v>141</v>
      </c>
    </row>
    <row r="199" spans="1:16" s="2" customFormat="1" ht="18" customHeight="1">
      <c r="A199" s="18">
        <v>197</v>
      </c>
      <c r="B199" s="19">
        <v>279</v>
      </c>
      <c r="C199" s="20" t="s">
        <v>403</v>
      </c>
      <c r="D199" s="18" t="s">
        <v>100</v>
      </c>
      <c r="E199" s="18">
        <v>1</v>
      </c>
      <c r="F199" s="18" t="s">
        <v>75</v>
      </c>
      <c r="G199" s="20" t="s">
        <v>404</v>
      </c>
      <c r="H199" s="18">
        <v>4500</v>
      </c>
      <c r="I199" s="18"/>
      <c r="J199" s="18">
        <v>8000</v>
      </c>
      <c r="K199" s="35"/>
      <c r="L199" s="36">
        <f>ROUND((1708+1999+1680)/3,0)</f>
        <v>1796</v>
      </c>
      <c r="M199" s="35">
        <v>0.6</v>
      </c>
      <c r="N199" s="36">
        <f t="shared" si="10"/>
        <v>1078</v>
      </c>
      <c r="O199" s="37"/>
      <c r="P199" s="38" t="s">
        <v>141</v>
      </c>
    </row>
    <row r="200" spans="1:16" s="2" customFormat="1" ht="18" customHeight="1">
      <c r="A200" s="18">
        <v>198</v>
      </c>
      <c r="B200" s="19">
        <v>282</v>
      </c>
      <c r="C200" s="20" t="s">
        <v>405</v>
      </c>
      <c r="D200" s="18" t="s">
        <v>245</v>
      </c>
      <c r="E200" s="18">
        <v>1</v>
      </c>
      <c r="F200" s="18" t="s">
        <v>406</v>
      </c>
      <c r="G200" s="20"/>
      <c r="H200" s="18">
        <v>1000</v>
      </c>
      <c r="I200" s="18"/>
      <c r="J200" s="18">
        <v>5000</v>
      </c>
      <c r="K200" s="35"/>
      <c r="L200" s="36">
        <f>ROUND((1708+1999+1680)/3,0)</f>
        <v>1796</v>
      </c>
      <c r="M200" s="35">
        <v>0.7</v>
      </c>
      <c r="N200" s="36">
        <f t="shared" si="10"/>
        <v>1257</v>
      </c>
      <c r="O200" s="37"/>
      <c r="P200" s="38" t="s">
        <v>141</v>
      </c>
    </row>
    <row r="201" spans="1:16" s="2" customFormat="1" ht="18" customHeight="1">
      <c r="A201" s="18">
        <v>199</v>
      </c>
      <c r="B201" s="19">
        <v>283</v>
      </c>
      <c r="C201" s="20" t="s">
        <v>289</v>
      </c>
      <c r="D201" s="18" t="s">
        <v>100</v>
      </c>
      <c r="E201" s="18">
        <v>1</v>
      </c>
      <c r="F201" s="18" t="s">
        <v>231</v>
      </c>
      <c r="G201" s="20" t="s">
        <v>349</v>
      </c>
      <c r="H201" s="18">
        <v>500</v>
      </c>
      <c r="I201" s="18">
        <v>3000</v>
      </c>
      <c r="J201" s="18">
        <v>2000</v>
      </c>
      <c r="K201" s="35"/>
      <c r="L201" s="36">
        <f>ROUND((153+168+178+179.1)/4,0)</f>
        <v>170</v>
      </c>
      <c r="M201" s="35">
        <v>0.7</v>
      </c>
      <c r="N201" s="36">
        <f t="shared" si="10"/>
        <v>119</v>
      </c>
      <c r="O201" s="37"/>
      <c r="P201" s="38" t="s">
        <v>141</v>
      </c>
    </row>
    <row r="202" spans="1:16" s="2" customFormat="1" ht="18" customHeight="1">
      <c r="A202" s="18">
        <v>200</v>
      </c>
      <c r="B202" s="19">
        <v>284</v>
      </c>
      <c r="C202" s="20" t="s">
        <v>407</v>
      </c>
      <c r="D202" s="18" t="s">
        <v>100</v>
      </c>
      <c r="E202" s="18">
        <v>1</v>
      </c>
      <c r="F202" s="18" t="s">
        <v>83</v>
      </c>
      <c r="G202" s="20"/>
      <c r="H202" s="18">
        <v>1000</v>
      </c>
      <c r="I202" s="18">
        <v>200</v>
      </c>
      <c r="J202" s="18">
        <v>3000</v>
      </c>
      <c r="K202" s="35"/>
      <c r="L202" s="36">
        <f>ROUND((2145.6*3)/3,0)</f>
        <v>2146</v>
      </c>
      <c r="M202" s="35">
        <v>0.5</v>
      </c>
      <c r="N202" s="36">
        <f t="shared" si="10"/>
        <v>1073</v>
      </c>
      <c r="O202" s="37"/>
      <c r="P202" s="38" t="s">
        <v>141</v>
      </c>
    </row>
    <row r="203" spans="1:16" s="2" customFormat="1" ht="18" customHeight="1">
      <c r="A203" s="18">
        <v>201</v>
      </c>
      <c r="B203" s="19">
        <v>285</v>
      </c>
      <c r="C203" s="20" t="s">
        <v>289</v>
      </c>
      <c r="D203" s="18" t="s">
        <v>100</v>
      </c>
      <c r="E203" s="18">
        <v>1</v>
      </c>
      <c r="F203" s="18" t="s">
        <v>234</v>
      </c>
      <c r="G203" s="20"/>
      <c r="H203" s="18">
        <v>300</v>
      </c>
      <c r="I203" s="18">
        <v>200</v>
      </c>
      <c r="J203" s="18">
        <v>5500</v>
      </c>
      <c r="K203" s="35"/>
      <c r="L203" s="36">
        <f>ROUND((153+168+178+179.1)/4,0)</f>
        <v>170</v>
      </c>
      <c r="M203" s="35">
        <v>0.5</v>
      </c>
      <c r="N203" s="36">
        <f t="shared" si="10"/>
        <v>85</v>
      </c>
      <c r="O203" s="37"/>
      <c r="P203" s="38" t="s">
        <v>141</v>
      </c>
    </row>
    <row r="204" spans="1:16" s="2" customFormat="1" ht="18" customHeight="1">
      <c r="A204" s="18">
        <v>202</v>
      </c>
      <c r="B204" s="19">
        <v>286</v>
      </c>
      <c r="C204" s="20" t="s">
        <v>408</v>
      </c>
      <c r="D204" s="18" t="s">
        <v>100</v>
      </c>
      <c r="E204" s="18">
        <v>1</v>
      </c>
      <c r="F204" s="18" t="s">
        <v>234</v>
      </c>
      <c r="G204" s="20" t="s">
        <v>352</v>
      </c>
      <c r="H204" s="18">
        <v>500</v>
      </c>
      <c r="I204" s="18">
        <v>200</v>
      </c>
      <c r="J204" s="18">
        <v>2000</v>
      </c>
      <c r="K204" s="35"/>
      <c r="L204" s="36">
        <f>ROUND((153+168+178+179.1)/4,0)</f>
        <v>170</v>
      </c>
      <c r="M204" s="35">
        <v>0.4</v>
      </c>
      <c r="N204" s="36">
        <f t="shared" si="10"/>
        <v>68</v>
      </c>
      <c r="O204" s="37"/>
      <c r="P204" s="38" t="s">
        <v>141</v>
      </c>
    </row>
    <row r="205" spans="1:16" s="2" customFormat="1" ht="18" customHeight="1">
      <c r="A205" s="18">
        <v>203</v>
      </c>
      <c r="B205" s="19">
        <v>287</v>
      </c>
      <c r="C205" s="20" t="s">
        <v>337</v>
      </c>
      <c r="D205" s="18" t="s">
        <v>100</v>
      </c>
      <c r="E205" s="18">
        <v>1</v>
      </c>
      <c r="F205" s="18" t="s">
        <v>234</v>
      </c>
      <c r="G205" s="20" t="s">
        <v>335</v>
      </c>
      <c r="H205" s="18">
        <v>600</v>
      </c>
      <c r="I205" s="18">
        <v>200</v>
      </c>
      <c r="J205" s="18">
        <v>4000</v>
      </c>
      <c r="K205" s="35"/>
      <c r="L205" s="36">
        <f>ROUND((153+168+178+179.1)/4,0)</f>
        <v>170</v>
      </c>
      <c r="M205" s="35">
        <v>0.5</v>
      </c>
      <c r="N205" s="36">
        <f t="shared" si="10"/>
        <v>85</v>
      </c>
      <c r="O205" s="37"/>
      <c r="P205" s="38" t="s">
        <v>141</v>
      </c>
    </row>
    <row r="206" spans="1:16" s="2" customFormat="1" ht="18" customHeight="1">
      <c r="A206" s="18">
        <v>204</v>
      </c>
      <c r="B206" s="19">
        <v>288</v>
      </c>
      <c r="C206" s="20" t="s">
        <v>289</v>
      </c>
      <c r="D206" s="18" t="s">
        <v>100</v>
      </c>
      <c r="E206" s="18">
        <v>1</v>
      </c>
      <c r="F206" s="18" t="s">
        <v>234</v>
      </c>
      <c r="G206" s="20" t="s">
        <v>349</v>
      </c>
      <c r="H206" s="18">
        <v>2000</v>
      </c>
      <c r="I206" s="18">
        <v>200</v>
      </c>
      <c r="J206" s="18">
        <v>8000</v>
      </c>
      <c r="K206" s="35"/>
      <c r="L206" s="36">
        <f>ROUND((153+168+178+179.1)/4,0)</f>
        <v>170</v>
      </c>
      <c r="M206" s="35">
        <v>0.5</v>
      </c>
      <c r="N206" s="36">
        <f t="shared" si="10"/>
        <v>85</v>
      </c>
      <c r="O206" s="37" t="s">
        <v>307</v>
      </c>
      <c r="P206" s="38" t="s">
        <v>141</v>
      </c>
    </row>
    <row r="207" spans="1:16" s="2" customFormat="1" ht="18" customHeight="1">
      <c r="A207" s="18">
        <v>205</v>
      </c>
      <c r="B207" s="19">
        <v>289</v>
      </c>
      <c r="C207" s="20" t="s">
        <v>289</v>
      </c>
      <c r="D207" s="18" t="s">
        <v>100</v>
      </c>
      <c r="E207" s="18">
        <v>1</v>
      </c>
      <c r="F207" s="18" t="s">
        <v>234</v>
      </c>
      <c r="G207" s="20" t="s">
        <v>355</v>
      </c>
      <c r="H207" s="18">
        <v>1000</v>
      </c>
      <c r="I207" s="18">
        <v>200</v>
      </c>
      <c r="J207" s="18">
        <v>8000</v>
      </c>
      <c r="K207" s="35"/>
      <c r="L207" s="36">
        <f>ROUND((268+299+316)/3,0)</f>
        <v>294</v>
      </c>
      <c r="M207" s="35">
        <v>0.5</v>
      </c>
      <c r="N207" s="36">
        <f t="shared" si="10"/>
        <v>147</v>
      </c>
      <c r="O207" s="37"/>
      <c r="P207" s="38" t="s">
        <v>141</v>
      </c>
    </row>
    <row r="208" spans="1:16" s="2" customFormat="1" ht="18" customHeight="1">
      <c r="A208" s="18">
        <v>206</v>
      </c>
      <c r="B208" s="19">
        <v>290</v>
      </c>
      <c r="C208" s="20" t="s">
        <v>296</v>
      </c>
      <c r="D208" s="18" t="s">
        <v>100</v>
      </c>
      <c r="E208" s="18">
        <v>1</v>
      </c>
      <c r="F208" s="18" t="s">
        <v>234</v>
      </c>
      <c r="G208" s="20"/>
      <c r="H208" s="18">
        <v>500</v>
      </c>
      <c r="I208" s="18">
        <v>200</v>
      </c>
      <c r="J208" s="18">
        <v>6000</v>
      </c>
      <c r="K208" s="35"/>
      <c r="L208" s="36">
        <v>168</v>
      </c>
      <c r="M208" s="35">
        <v>0.5</v>
      </c>
      <c r="N208" s="36">
        <f t="shared" si="10"/>
        <v>84</v>
      </c>
      <c r="O208" s="37"/>
      <c r="P208" s="38" t="s">
        <v>141</v>
      </c>
    </row>
    <row r="209" spans="1:16" s="2" customFormat="1" ht="18" customHeight="1">
      <c r="A209" s="18">
        <v>207</v>
      </c>
      <c r="B209" s="19">
        <v>291</v>
      </c>
      <c r="C209" s="20" t="s">
        <v>409</v>
      </c>
      <c r="D209" s="18" t="s">
        <v>100</v>
      </c>
      <c r="E209" s="18">
        <v>1</v>
      </c>
      <c r="F209" s="18" t="s">
        <v>234</v>
      </c>
      <c r="G209" s="20"/>
      <c r="H209" s="18">
        <v>500</v>
      </c>
      <c r="I209" s="18">
        <v>200</v>
      </c>
      <c r="J209" s="18">
        <v>5500</v>
      </c>
      <c r="K209" s="35"/>
      <c r="L209" s="36">
        <v>168</v>
      </c>
      <c r="M209" s="35">
        <v>0.5</v>
      </c>
      <c r="N209" s="36">
        <f t="shared" si="10"/>
        <v>84</v>
      </c>
      <c r="O209" s="37" t="s">
        <v>410</v>
      </c>
      <c r="P209" s="38" t="s">
        <v>141</v>
      </c>
    </row>
    <row r="210" spans="1:16" s="2" customFormat="1" ht="18" customHeight="1">
      <c r="A210" s="18">
        <v>208</v>
      </c>
      <c r="B210" s="19">
        <v>292</v>
      </c>
      <c r="C210" s="20" t="s">
        <v>289</v>
      </c>
      <c r="D210" s="18" t="s">
        <v>100</v>
      </c>
      <c r="E210" s="18">
        <v>1</v>
      </c>
      <c r="F210" s="18" t="s">
        <v>234</v>
      </c>
      <c r="G210" s="20"/>
      <c r="H210" s="18">
        <v>600</v>
      </c>
      <c r="I210" s="18">
        <v>200</v>
      </c>
      <c r="J210" s="18">
        <v>500</v>
      </c>
      <c r="K210" s="35"/>
      <c r="L210" s="36">
        <f>ROUND((153+168+178+179.1)/4,0)</f>
        <v>170</v>
      </c>
      <c r="M210" s="35">
        <v>0.5</v>
      </c>
      <c r="N210" s="36">
        <f t="shared" si="10"/>
        <v>85</v>
      </c>
      <c r="O210" s="37"/>
      <c r="P210" s="38" t="s">
        <v>141</v>
      </c>
    </row>
    <row r="211" spans="1:16" s="2" customFormat="1" ht="18" customHeight="1">
      <c r="A211" s="18">
        <v>209</v>
      </c>
      <c r="B211" s="19">
        <v>293</v>
      </c>
      <c r="C211" s="20" t="s">
        <v>289</v>
      </c>
      <c r="D211" s="18" t="s">
        <v>100</v>
      </c>
      <c r="E211" s="18">
        <v>1</v>
      </c>
      <c r="F211" s="18" t="s">
        <v>234</v>
      </c>
      <c r="G211" s="20" t="s">
        <v>325</v>
      </c>
      <c r="H211" s="18">
        <v>200</v>
      </c>
      <c r="I211" s="18">
        <v>200</v>
      </c>
      <c r="J211" s="18">
        <v>2000</v>
      </c>
      <c r="K211" s="35"/>
      <c r="L211" s="36">
        <f>ROUND((268+299+316)/3,0)</f>
        <v>294</v>
      </c>
      <c r="M211" s="35">
        <v>0.5</v>
      </c>
      <c r="N211" s="36">
        <f t="shared" si="10"/>
        <v>147</v>
      </c>
      <c r="O211" s="37"/>
      <c r="P211" s="38" t="s">
        <v>141</v>
      </c>
    </row>
    <row r="212" spans="1:16" s="2" customFormat="1" ht="18" customHeight="1">
      <c r="A212" s="18">
        <v>210</v>
      </c>
      <c r="B212" s="19">
        <v>295</v>
      </c>
      <c r="C212" s="20" t="s">
        <v>411</v>
      </c>
      <c r="D212" s="18" t="s">
        <v>245</v>
      </c>
      <c r="E212" s="18">
        <v>4</v>
      </c>
      <c r="F212" s="18" t="s">
        <v>412</v>
      </c>
      <c r="G212" s="20"/>
      <c r="H212" s="18">
        <v>3000</v>
      </c>
      <c r="I212" s="18">
        <v>400</v>
      </c>
      <c r="J212" s="18">
        <f>3000*4</f>
        <v>12000</v>
      </c>
      <c r="K212" s="35"/>
      <c r="L212" s="36">
        <f>ROUND((298+300+300+277)/4,0)*E212</f>
        <v>1176</v>
      </c>
      <c r="M212" s="35">
        <v>0.5</v>
      </c>
      <c r="N212" s="36">
        <f t="shared" si="10"/>
        <v>588</v>
      </c>
      <c r="O212" s="37" t="s">
        <v>413</v>
      </c>
      <c r="P212" s="38" t="s">
        <v>141</v>
      </c>
    </row>
    <row r="213" spans="1:16" s="2" customFormat="1" ht="18" customHeight="1">
      <c r="A213" s="18">
        <v>211</v>
      </c>
      <c r="B213" s="19">
        <v>317</v>
      </c>
      <c r="C213" s="20" t="s">
        <v>377</v>
      </c>
      <c r="D213" s="18" t="s">
        <v>100</v>
      </c>
      <c r="E213" s="18">
        <v>1</v>
      </c>
      <c r="F213" s="18" t="s">
        <v>414</v>
      </c>
      <c r="G213" s="20" t="s">
        <v>415</v>
      </c>
      <c r="H213" s="18">
        <v>2000</v>
      </c>
      <c r="I213" s="18">
        <v>6000</v>
      </c>
      <c r="J213" s="18">
        <v>18000</v>
      </c>
      <c r="K213" s="35"/>
      <c r="L213" s="36">
        <f>L190*1.5</f>
        <v>11970</v>
      </c>
      <c r="M213" s="35">
        <v>0.5</v>
      </c>
      <c r="N213" s="36">
        <f t="shared" si="10"/>
        <v>5985</v>
      </c>
      <c r="O213" s="37" t="s">
        <v>416</v>
      </c>
      <c r="P213" s="38" t="s">
        <v>168</v>
      </c>
    </row>
    <row r="214" spans="1:16" s="2" customFormat="1" ht="18" customHeight="1">
      <c r="A214" s="18">
        <v>212</v>
      </c>
      <c r="B214" s="19">
        <v>330</v>
      </c>
      <c r="C214" s="20" t="s">
        <v>289</v>
      </c>
      <c r="D214" s="18" t="s">
        <v>100</v>
      </c>
      <c r="E214" s="18">
        <v>1</v>
      </c>
      <c r="F214" s="18"/>
      <c r="G214" s="20"/>
      <c r="H214" s="18">
        <v>2000</v>
      </c>
      <c r="I214" s="18">
        <v>1000</v>
      </c>
      <c r="J214" s="18">
        <v>1500</v>
      </c>
      <c r="K214" s="35"/>
      <c r="L214" s="36">
        <f aca="true" t="shared" si="11" ref="L214:L219">ROUND((1480+1560+1580)/3,0)</f>
        <v>1540</v>
      </c>
      <c r="M214" s="35">
        <v>0.5</v>
      </c>
      <c r="N214" s="36">
        <f t="shared" si="10"/>
        <v>770</v>
      </c>
      <c r="O214" s="37"/>
      <c r="P214" s="38" t="s">
        <v>417</v>
      </c>
    </row>
    <row r="215" spans="1:16" s="2" customFormat="1" ht="18" customHeight="1">
      <c r="A215" s="18">
        <v>213</v>
      </c>
      <c r="B215" s="19">
        <v>331</v>
      </c>
      <c r="C215" s="20" t="s">
        <v>289</v>
      </c>
      <c r="D215" s="18" t="s">
        <v>100</v>
      </c>
      <c r="E215" s="18">
        <v>1</v>
      </c>
      <c r="F215" s="18"/>
      <c r="G215" s="20"/>
      <c r="H215" s="18">
        <v>2000</v>
      </c>
      <c r="I215" s="18">
        <v>1000</v>
      </c>
      <c r="J215" s="18">
        <v>1500</v>
      </c>
      <c r="K215" s="35"/>
      <c r="L215" s="36">
        <f t="shared" si="11"/>
        <v>1540</v>
      </c>
      <c r="M215" s="35">
        <v>0.5</v>
      </c>
      <c r="N215" s="36">
        <f t="shared" si="10"/>
        <v>770</v>
      </c>
      <c r="O215" s="37"/>
      <c r="P215" s="38" t="s">
        <v>417</v>
      </c>
    </row>
    <row r="216" spans="1:16" s="2" customFormat="1" ht="18" customHeight="1">
      <c r="A216" s="18">
        <v>214</v>
      </c>
      <c r="B216" s="19">
        <v>332</v>
      </c>
      <c r="C216" s="20" t="s">
        <v>289</v>
      </c>
      <c r="D216" s="18" t="s">
        <v>100</v>
      </c>
      <c r="E216" s="18">
        <v>1</v>
      </c>
      <c r="F216" s="18"/>
      <c r="G216" s="20" t="s">
        <v>418</v>
      </c>
      <c r="H216" s="18">
        <v>2000</v>
      </c>
      <c r="I216" s="18">
        <v>600</v>
      </c>
      <c r="J216" s="18">
        <v>5000</v>
      </c>
      <c r="K216" s="35"/>
      <c r="L216" s="36">
        <f t="shared" si="11"/>
        <v>1540</v>
      </c>
      <c r="M216" s="35">
        <v>0.5</v>
      </c>
      <c r="N216" s="36">
        <f t="shared" si="10"/>
        <v>770</v>
      </c>
      <c r="O216" s="37" t="s">
        <v>419</v>
      </c>
      <c r="P216" s="38" t="s">
        <v>417</v>
      </c>
    </row>
    <row r="217" spans="1:16" s="2" customFormat="1" ht="18" customHeight="1">
      <c r="A217" s="18">
        <v>215</v>
      </c>
      <c r="B217" s="19">
        <v>333</v>
      </c>
      <c r="C217" s="20" t="s">
        <v>289</v>
      </c>
      <c r="D217" s="18" t="s">
        <v>100</v>
      </c>
      <c r="E217" s="18">
        <v>1</v>
      </c>
      <c r="F217" s="18"/>
      <c r="G217" s="20" t="s">
        <v>418</v>
      </c>
      <c r="H217" s="18">
        <v>2000</v>
      </c>
      <c r="I217" s="18">
        <v>600</v>
      </c>
      <c r="J217" s="18">
        <v>5000</v>
      </c>
      <c r="K217" s="35"/>
      <c r="L217" s="36">
        <f t="shared" si="11"/>
        <v>1540</v>
      </c>
      <c r="M217" s="35">
        <v>0.7</v>
      </c>
      <c r="N217" s="36">
        <f t="shared" si="10"/>
        <v>1078</v>
      </c>
      <c r="O217" s="37"/>
      <c r="P217" s="38" t="s">
        <v>417</v>
      </c>
    </row>
    <row r="218" spans="1:16" s="2" customFormat="1" ht="18" customHeight="1">
      <c r="A218" s="18">
        <v>216</v>
      </c>
      <c r="B218" s="19">
        <v>334</v>
      </c>
      <c r="C218" s="20" t="s">
        <v>289</v>
      </c>
      <c r="D218" s="18" t="s">
        <v>100</v>
      </c>
      <c r="E218" s="18">
        <v>1</v>
      </c>
      <c r="F218" s="18"/>
      <c r="G218" s="20" t="s">
        <v>418</v>
      </c>
      <c r="H218" s="18">
        <v>2000</v>
      </c>
      <c r="I218" s="18">
        <v>600</v>
      </c>
      <c r="J218" s="18">
        <v>1500</v>
      </c>
      <c r="K218" s="35"/>
      <c r="L218" s="36">
        <f t="shared" si="11"/>
        <v>1540</v>
      </c>
      <c r="M218" s="35">
        <v>0.7</v>
      </c>
      <c r="N218" s="36">
        <f t="shared" si="10"/>
        <v>1078</v>
      </c>
      <c r="O218" s="37" t="s">
        <v>420</v>
      </c>
      <c r="P218" s="38" t="s">
        <v>417</v>
      </c>
    </row>
    <row r="219" spans="1:16" s="2" customFormat="1" ht="18" customHeight="1">
      <c r="A219" s="18">
        <v>217</v>
      </c>
      <c r="B219" s="19">
        <v>335</v>
      </c>
      <c r="C219" s="20" t="s">
        <v>289</v>
      </c>
      <c r="D219" s="18" t="s">
        <v>100</v>
      </c>
      <c r="E219" s="18">
        <v>1</v>
      </c>
      <c r="F219" s="18"/>
      <c r="G219" s="20" t="s">
        <v>418</v>
      </c>
      <c r="H219" s="18">
        <v>2000</v>
      </c>
      <c r="I219" s="18">
        <v>600</v>
      </c>
      <c r="J219" s="18">
        <v>1500</v>
      </c>
      <c r="K219" s="35"/>
      <c r="L219" s="36">
        <f t="shared" si="11"/>
        <v>1540</v>
      </c>
      <c r="M219" s="35">
        <v>0.7</v>
      </c>
      <c r="N219" s="36">
        <f t="shared" si="10"/>
        <v>1078</v>
      </c>
      <c r="O219" s="37"/>
      <c r="P219" s="38" t="s">
        <v>417</v>
      </c>
    </row>
    <row r="220" spans="1:16" s="2" customFormat="1" ht="18" customHeight="1">
      <c r="A220" s="18">
        <v>218</v>
      </c>
      <c r="B220" s="19">
        <v>336</v>
      </c>
      <c r="C220" s="20" t="s">
        <v>421</v>
      </c>
      <c r="D220" s="18" t="s">
        <v>79</v>
      </c>
      <c r="E220" s="18">
        <v>2</v>
      </c>
      <c r="F220" s="18"/>
      <c r="G220" s="20"/>
      <c r="H220" s="18">
        <v>3000</v>
      </c>
      <c r="I220" s="18">
        <v>2000</v>
      </c>
      <c r="J220" s="18"/>
      <c r="K220" s="35"/>
      <c r="L220" s="36">
        <f>ROUND((2880+3500+3468)/3,0)</f>
        <v>3283</v>
      </c>
      <c r="M220" s="35">
        <v>0.7</v>
      </c>
      <c r="N220" s="36">
        <f t="shared" si="10"/>
        <v>2298</v>
      </c>
      <c r="O220" s="37" t="s">
        <v>422</v>
      </c>
      <c r="P220" s="38" t="s">
        <v>417</v>
      </c>
    </row>
    <row r="221" spans="1:16" s="2" customFormat="1" ht="18" customHeight="1">
      <c r="A221" s="18">
        <v>219</v>
      </c>
      <c r="B221" s="19">
        <v>368</v>
      </c>
      <c r="C221" s="20" t="s">
        <v>423</v>
      </c>
      <c r="D221" s="18" t="s">
        <v>245</v>
      </c>
      <c r="E221" s="18">
        <v>1</v>
      </c>
      <c r="F221" s="18"/>
      <c r="G221" s="20" t="s">
        <v>424</v>
      </c>
      <c r="H221" s="18"/>
      <c r="I221" s="18"/>
      <c r="J221" s="18">
        <v>1000</v>
      </c>
      <c r="K221" s="35"/>
      <c r="L221" s="36">
        <f>ROUND((298+300+300+277)/4,0)</f>
        <v>294</v>
      </c>
      <c r="M221" s="35">
        <v>0.5</v>
      </c>
      <c r="N221" s="36">
        <f t="shared" si="10"/>
        <v>147</v>
      </c>
      <c r="O221" s="37"/>
      <c r="P221" s="38" t="s">
        <v>59</v>
      </c>
    </row>
    <row r="222" spans="1:16" s="2" customFormat="1" ht="18" customHeight="1">
      <c r="A222" s="18">
        <v>220</v>
      </c>
      <c r="B222" s="19">
        <v>370</v>
      </c>
      <c r="C222" s="20" t="s">
        <v>425</v>
      </c>
      <c r="D222" s="18" t="s">
        <v>100</v>
      </c>
      <c r="E222" s="18">
        <v>1</v>
      </c>
      <c r="F222" s="18"/>
      <c r="G222" s="20" t="s">
        <v>426</v>
      </c>
      <c r="H222" s="18"/>
      <c r="I222" s="18"/>
      <c r="J222" s="18">
        <v>3000</v>
      </c>
      <c r="K222" s="35"/>
      <c r="L222" s="36">
        <f>ROUND((810.18+844.61)/2,0)</f>
        <v>827</v>
      </c>
      <c r="M222" s="35">
        <v>0.6</v>
      </c>
      <c r="N222" s="36">
        <f t="shared" si="10"/>
        <v>496</v>
      </c>
      <c r="O222" s="37"/>
      <c r="P222" s="38" t="s">
        <v>59</v>
      </c>
    </row>
    <row r="223" spans="1:16" s="2" customFormat="1" ht="18" customHeight="1">
      <c r="A223" s="39"/>
      <c r="B223" s="40"/>
      <c r="C223" s="41"/>
      <c r="D223" s="42"/>
      <c r="E223" s="39"/>
      <c r="F223" s="39"/>
      <c r="G223" s="41"/>
      <c r="H223" s="39"/>
      <c r="I223" s="39"/>
      <c r="J223" s="39"/>
      <c r="K223" s="46"/>
      <c r="L223" s="47"/>
      <c r="M223" s="46"/>
      <c r="N223" s="47"/>
      <c r="O223" s="41"/>
      <c r="P223" s="42"/>
    </row>
    <row r="224" spans="1:16" ht="18" customHeight="1">
      <c r="A224" s="43" t="s">
        <v>47</v>
      </c>
      <c r="B224" s="43"/>
      <c r="C224" s="43"/>
      <c r="D224" s="44"/>
      <c r="E224" s="43">
        <f>SUM(E3:E223)</f>
        <v>224</v>
      </c>
      <c r="F224" s="43"/>
      <c r="G224" s="45"/>
      <c r="H224" s="44"/>
      <c r="I224" s="44"/>
      <c r="J224" s="44"/>
      <c r="K224" s="48"/>
      <c r="L224" s="49">
        <f>SUM(L3:L222)</f>
        <v>186830</v>
      </c>
      <c r="M224" s="50"/>
      <c r="N224" s="49">
        <f>SUM(N3:N222)</f>
        <v>98668</v>
      </c>
      <c r="O224" s="51"/>
      <c r="P224" s="52"/>
    </row>
    <row r="225" ht="14.25">
      <c r="K225" s="53"/>
    </row>
    <row r="226" ht="14.25">
      <c r="K226" s="53"/>
    </row>
    <row r="227" ht="14.25">
      <c r="K227" s="53"/>
    </row>
    <row r="228" ht="14.25">
      <c r="K228" s="53"/>
    </row>
    <row r="229" ht="14.25">
      <c r="K229" s="53"/>
    </row>
    <row r="230" ht="14.25">
      <c r="K230" s="53"/>
    </row>
    <row r="231" ht="14.25">
      <c r="K231" s="53"/>
    </row>
    <row r="232" ht="14.25">
      <c r="K232" s="53"/>
    </row>
    <row r="233" ht="14.25">
      <c r="K233" s="53"/>
    </row>
    <row r="234" ht="14.25">
      <c r="K234" s="53"/>
    </row>
    <row r="235" ht="14.25">
      <c r="K235" s="53"/>
    </row>
    <row r="236" ht="14.25">
      <c r="K236" s="53"/>
    </row>
    <row r="237" ht="14.25">
      <c r="K237" s="53"/>
    </row>
    <row r="238" ht="14.25">
      <c r="K238" s="53"/>
    </row>
    <row r="239" ht="14.25">
      <c r="K239" s="53"/>
    </row>
    <row r="240" ht="14.25">
      <c r="K240" s="53"/>
    </row>
    <row r="241" ht="14.25">
      <c r="K241" s="53"/>
    </row>
    <row r="242" ht="14.25">
      <c r="K242" s="53"/>
    </row>
    <row r="243" ht="14.25">
      <c r="K243" s="53"/>
    </row>
  </sheetData>
  <sheetProtection/>
  <autoFilter ref="A2:P224"/>
  <mergeCells count="14">
    <mergeCell ref="I1:J1"/>
    <mergeCell ref="M1:N1"/>
    <mergeCell ref="A224:C224"/>
    <mergeCell ref="A1:A2"/>
    <mergeCell ref="B1:B2"/>
    <mergeCell ref="C1:C2"/>
    <mergeCell ref="D1:D2"/>
    <mergeCell ref="E1:E2"/>
    <mergeCell ref="F1:F2"/>
    <mergeCell ref="G1:G2"/>
    <mergeCell ref="H1:H2"/>
    <mergeCell ref="L1:L2"/>
    <mergeCell ref="O1:O2"/>
    <mergeCell ref="P1:P2"/>
  </mergeCells>
  <printOptions/>
  <pageMargins left="0.7513888888888889" right="0.7513888888888889" top="0.5506944444444445" bottom="0.5118055555555555" header="0.5" footer="0.5"/>
  <pageSetup horizontalDpi="600" verticalDpi="600" orientation="landscape" paperSize="9"/>
  <headerFooter>
    <oddHeader>&amp;R&amp;10第&amp;P页共&amp;N页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2020-11-18T03:01:42Z</dcterms:created>
  <dcterms:modified xsi:type="dcterms:W3CDTF">2022-09-05T07:01:00Z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5F1196F1E71F46A0A7C7BCFD0A7FC086</vt:lpwstr>
  </property>
</Properties>
</file>